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05" windowHeight="7590" activeTab="5"/>
  </bookViews>
  <sheets>
    <sheet name="ORÇAMENTO GERAL" sheetId="1" r:id="rId1"/>
    <sheet name="CRONOGRAMA GERAL" sheetId="2" r:id="rId2"/>
    <sheet name="QCI" sheetId="3" r:id="rId3"/>
    <sheet name="BDI" sheetId="4" r:id="rId4"/>
    <sheet name="MEMÓRIA CÁLCULO" sheetId="5" r:id="rId5"/>
    <sheet name="CRONOGRAMA GERAL TOTAL" sheetId="6" r:id="rId6"/>
  </sheets>
  <definedNames>
    <definedName name="_xlnm.Print_Area" localSheetId="3">'BDI'!$A$1:$G$45</definedName>
    <definedName name="_xlnm.Print_Area" localSheetId="1">'CRONOGRAMA GERAL'!$A$1:$G$61</definedName>
    <definedName name="_xlnm.Print_Area" localSheetId="5">'CRONOGRAMA GERAL TOTAL'!$A$1:$H$124</definedName>
    <definedName name="_xlnm.Print_Area" localSheetId="4">'MEMÓRIA CÁLCULO'!$A$1:$K$151</definedName>
    <definedName name="_xlnm.Print_Area" localSheetId="0">'ORÇAMENTO GERAL'!$A$1:$K$198</definedName>
    <definedName name="_xlnm.Print_Area" localSheetId="2">'QCI'!$A$1:$BV$32</definedName>
    <definedName name="Excel_BuiltIn__FilterDatabase_3" localSheetId="5">#REF!</definedName>
    <definedName name="Excel_BuiltIn__FilterDatabase_3">#REF!</definedName>
    <definedName name="Excel_BuiltIn_Print_Area_1_1" localSheetId="5">#REF!</definedName>
    <definedName name="Excel_BuiltIn_Print_Area_1_1">#REF!</definedName>
    <definedName name="Excel_BuiltIn_Print_Area_4" localSheetId="5">#REF!</definedName>
    <definedName name="Excel_BuiltIn_Print_Area_4">#REF!</definedName>
    <definedName name="Excel_BuiltIn_Print_Area_5_1" localSheetId="5">#REF!</definedName>
    <definedName name="Excel_BuiltIn_Print_Area_5_1">#REF!</definedName>
  </definedNames>
  <calcPr fullCalcOnLoad="1"/>
</workbook>
</file>

<file path=xl/sharedStrings.xml><?xml version="1.0" encoding="utf-8"?>
<sst xmlns="http://schemas.openxmlformats.org/spreadsheetml/2006/main" count="1083" uniqueCount="224">
  <si>
    <t>m</t>
  </si>
  <si>
    <t>ITEM</t>
  </si>
  <si>
    <t>DISCRIMINAÇÃO</t>
  </si>
  <si>
    <t>QUANT.</t>
  </si>
  <si>
    <t>VALOR UNIT.</t>
  </si>
  <si>
    <t>TOTAL</t>
  </si>
  <si>
    <t>TOTAL GERAL</t>
  </si>
  <si>
    <t>CÓDIGO</t>
  </si>
  <si>
    <t>ORÇAMENTO</t>
  </si>
  <si>
    <t>BDI (Mão de Obra) = 25 %</t>
  </si>
  <si>
    <t>m²</t>
  </si>
  <si>
    <t>und</t>
  </si>
  <si>
    <t>SUB TOTAL</t>
  </si>
  <si>
    <t xml:space="preserve"> BDI (Materiais) = 15%</t>
  </si>
  <si>
    <t>INSTALAÇÕES ELÉTRICAS</t>
  </si>
  <si>
    <t>PISOS E ARTEFATOS DE CONCRETO</t>
  </si>
  <si>
    <t>SERVIÇOS</t>
  </si>
  <si>
    <t>VALORES/%</t>
  </si>
  <si>
    <t>30 dias</t>
  </si>
  <si>
    <t>60 dias</t>
  </si>
  <si>
    <t>TOTAL MENSAL (PARCELA)</t>
  </si>
  <si>
    <t>PERCENTUAL</t>
  </si>
  <si>
    <t>15 dias</t>
  </si>
  <si>
    <t>45 dias</t>
  </si>
  <si>
    <t>VEGETAÇÃO</t>
  </si>
  <si>
    <t>TABELA</t>
  </si>
  <si>
    <t>SINAPI</t>
  </si>
  <si>
    <t>PRAÇA JOÃO FRANCISCO</t>
  </si>
  <si>
    <t>PRAÇA SEBASTIÃO DE OLIVEIRA 2</t>
  </si>
  <si>
    <t>PRAÇA ALFEU MAGALHÃES</t>
  </si>
  <si>
    <t>PRAÇA UIRAPURU</t>
  </si>
  <si>
    <t>REGULARIZACAO DE TERRENO C/ MOTONIVELADORA</t>
  </si>
  <si>
    <t>QCI - QUADRO DE COMPOSIÇÃO DO INVESTIMENTO</t>
  </si>
  <si>
    <t>N° do contrato</t>
  </si>
  <si>
    <t>Agente Promotor / Proponente</t>
  </si>
  <si>
    <t>MUNICIPIO DE PIRACANJUBA/GO</t>
  </si>
  <si>
    <t>Empreendimento</t>
  </si>
  <si>
    <t>N° do Item</t>
  </si>
  <si>
    <t xml:space="preserve">Descrição </t>
  </si>
  <si>
    <t>Unid.</t>
  </si>
  <si>
    <t>Quant.</t>
  </si>
  <si>
    <t>Repasse</t>
  </si>
  <si>
    <t>Contrapartida</t>
  </si>
  <si>
    <t>Outras Fontes</t>
  </si>
  <si>
    <t>Total</t>
  </si>
  <si>
    <t>INC.</t>
  </si>
  <si>
    <t>Financeira</t>
  </si>
  <si>
    <t>Física</t>
  </si>
  <si>
    <t>%</t>
  </si>
  <si>
    <t>REPASSE</t>
  </si>
  <si>
    <t>CP FINANCEIRA</t>
  </si>
  <si>
    <t>CP FÍSICA</t>
  </si>
  <si>
    <t>EXCL. CONTRAP. FÍSICA</t>
  </si>
  <si>
    <t>3 - Menor entre "cont. mín. %" e "cont. ad. %"</t>
  </si>
  <si>
    <t>TOTAIS</t>
  </si>
  <si>
    <t>LOCAL E DATA</t>
  </si>
  <si>
    <t>Prefeito Municipal</t>
  </si>
  <si>
    <t xml:space="preserve"> </t>
  </si>
  <si>
    <t>CD:</t>
  </si>
  <si>
    <t>Item</t>
  </si>
  <si>
    <t>Descrição dos Serviços</t>
  </si>
  <si>
    <t>Valor</t>
  </si>
  <si>
    <t>BDI</t>
  </si>
  <si>
    <t>PV</t>
  </si>
  <si>
    <t>(R$)</t>
  </si>
  <si>
    <t>A</t>
  </si>
  <si>
    <t>ADMINISTRAÇÃO CENTRAL .....................(I)</t>
  </si>
  <si>
    <t>B</t>
  </si>
  <si>
    <t xml:space="preserve">TRIBUTOS </t>
  </si>
  <si>
    <t>B.1</t>
  </si>
  <si>
    <t>ISS...............................................................(VI)</t>
  </si>
  <si>
    <t>B.2</t>
  </si>
  <si>
    <t>PIS...............................................................(VII)</t>
  </si>
  <si>
    <t>B.3</t>
  </si>
  <si>
    <t>Cofins.........................................................(VIII)</t>
  </si>
  <si>
    <t>B.4</t>
  </si>
  <si>
    <t>CPRB...........................................................(IX)</t>
  </si>
  <si>
    <t>C</t>
  </si>
  <si>
    <t>SEGURO + GARANTIA................................(IV)</t>
  </si>
  <si>
    <t>D</t>
  </si>
  <si>
    <t>RISCOS......................................................(V)</t>
  </si>
  <si>
    <t>E</t>
  </si>
  <si>
    <t>DESPESAS FINANCEIRAS..........................(III)</t>
  </si>
  <si>
    <t>F</t>
  </si>
  <si>
    <t>LUCRO.......................................................(II)</t>
  </si>
  <si>
    <t>SOMA</t>
  </si>
  <si>
    <t xml:space="preserve">PV = </t>
  </si>
  <si>
    <t xml:space="preserve">BD I= </t>
  </si>
  <si>
    <t>{ | (1 + AC + S + R + G) (1 + DF) (1 + L) | - 1}</t>
  </si>
  <si>
    <t>ONDE:</t>
  </si>
  <si>
    <t>AC =  taxa de adm. Central</t>
  </si>
  <si>
    <t>(1 - I)</t>
  </si>
  <si>
    <t>S = taxa de seguros</t>
  </si>
  <si>
    <t>R= taxa de riscos</t>
  </si>
  <si>
    <t>G = taxa de garantias</t>
  </si>
  <si>
    <t>DF = taxa de despesas financeiras</t>
  </si>
  <si>
    <t>L = taxa de lucro / remuneração</t>
  </si>
  <si>
    <t>I = taxa de incidencia de impostos</t>
  </si>
  <si>
    <t>CONSTRUÇÃO DE 7 PRAÇAS PUBLICAS</t>
  </si>
  <si>
    <t>0264866-35</t>
  </si>
  <si>
    <t>ADMINISTRAÇÃO DE OBRA</t>
  </si>
  <si>
    <t>ENCARREGADO GERAL DE OBRAS</t>
  </si>
  <si>
    <t>ENGENHEIRO CIVIL DE OBRA JUNIOR</t>
  </si>
  <si>
    <t>H</t>
  </si>
  <si>
    <t>CAIXA DE PASSAGEM 40X40X50 FUNDO BRITA COM TAMPA</t>
  </si>
  <si>
    <t>73831/003</t>
  </si>
  <si>
    <t>LAMPADA DE VAPOR DE MERCURIO DE 400W/250V - FORNECIMENTO E INSTALACAO</t>
  </si>
  <si>
    <t>CONT.REPASSE</t>
  </si>
  <si>
    <t>2634.0264.866-35/2008</t>
  </si>
  <si>
    <t>OBRA: EMPREITADA SOB O REGIME GLOBAL DAS OBRAS DE CONSTRUÇÃO DE 7 PRAÇAS PÚBLICAS</t>
  </si>
  <si>
    <t>PROPRIETÁRIO: MUNICÍPIO DE PIRACANJUBA</t>
  </si>
  <si>
    <t>73763/002</t>
  </si>
  <si>
    <t>MEIO-FIO E SARJETA DE CONCRETO MOLDADO NO LOCAL</t>
  </si>
  <si>
    <t>m³</t>
  </si>
  <si>
    <t>73983/001</t>
  </si>
  <si>
    <t>CONCRETO FCK=15MPA, VIRADO EM BETONEIRA (BANCOS)</t>
  </si>
  <si>
    <t>ALVENARIA EM TIJOLO CERAMICO MACIÇO ASSENTADO COM ARGAMASSA (BANCOS)</t>
  </si>
  <si>
    <t>ANACARLA ELIAS DE ANDRADE FERNANDES</t>
  </si>
  <si>
    <t xml:space="preserve">ENGENHEIRA CIVIL </t>
  </si>
  <si>
    <t>CREA: 1014586631D-GO</t>
  </si>
  <si>
    <t>GRAMA ESMERALDA EM PLACAS</t>
  </si>
  <si>
    <t>73783/006</t>
  </si>
  <si>
    <t>POSTE CONCRETO SEÇÃO CIRCULAR COMPRIMENTO=7M CARGA NOMINAL TOPO 200KG - FORNECIMENTO E COLOCAÇÃO</t>
  </si>
  <si>
    <t>74130/001</t>
  </si>
  <si>
    <t xml:space="preserve">HASTE COPPERWELD 5/8 X 3,0M COM CONECTOR </t>
  </si>
  <si>
    <t>ENGENHEIRA CIVIL</t>
  </si>
  <si>
    <t xml:space="preserve">Engenheira Civil
</t>
  </si>
  <si>
    <t xml:space="preserve">CREA: 1014586631D-GO
</t>
  </si>
  <si>
    <t>01 (UM) PARA CADA PRAÇA</t>
  </si>
  <si>
    <t>ÁREA TOTAL DA PRAÇA</t>
  </si>
  <si>
    <t>0,72 (ÁREA DE ALVENARIA) X 6 (QUANTIDADE DE BANCOS)= 4,32M²</t>
  </si>
  <si>
    <t>0,32 (VOLUME DE CONCRETO) X 6(QUANTIDADE DE BANCOS)= 1,92M³</t>
  </si>
  <si>
    <t>0,72 (ÁREA DE ALVENARIA) X 4 (QUANTIDADE DE BANCOS)= 2,88M²</t>
  </si>
  <si>
    <t>0,32 (VOLUME DE CONCRETO) X 4 (QUANTIDADE DE BANCOS)= 1,28M³</t>
  </si>
  <si>
    <t>CONFORME PROJETO</t>
  </si>
  <si>
    <t>PERÍMETRO DA PRAÇA</t>
  </si>
  <si>
    <t>0,32 (VOLUME DE CONCRETO) X 4(QUANTIDADE DE BANCOS)= 1,28M³</t>
  </si>
  <si>
    <t>0,72 (ÁREA DE ALVENARIA) X 4(QUANTIDADE DE BANCOS)= 2,88M²</t>
  </si>
  <si>
    <t>1 HORA DIÁRIA X 60 DIAS</t>
  </si>
  <si>
    <t>Engenheira Civil CREA 1014586631D-GO</t>
  </si>
  <si>
    <t>EXECUÇÃO DE PASSEIO EM PISO INTERTRAVADO, COM BLOCO RETANGULAR COR NATURAL DE 20 X 10 CM, ESPESSURA 6 CM (PAVER)</t>
  </si>
  <si>
    <t>REBOCO ARGAMASSA TRACO 1:2 (CAL E AREIA FINA PENEIRADA), ESPESSURA 0,5CM, PREPARO MANUAL DA ARGAMASSA (BANCOS)</t>
  </si>
  <si>
    <t>74245/001</t>
  </si>
  <si>
    <t>PINTURA ACRILICA EM PISO CIMENTADO DUAS DEMAOS (BANCOS)</t>
  </si>
  <si>
    <t>[(0,45 X 0,80 X 4)+(0,15 X 0,45 X 4)] (FACES DAS BASES DOS BANCOS) X 4 (QUANTIDADE DE BANCOS) = 6,84M²</t>
  </si>
  <si>
    <t>[(0,80 X 0,20 X 2) + (2,00 X 0,20 X 2) + (2,00 X 0,80) + (1,20 X 0,80) + (0,25 X 0,80 X2) + (0,45 X 0,80 X 4) X (0,15 X 0,45 X 4)] (FACES DOS BANCOS) X 4 (QUANTIDADE DE BANCOS) = 23,16M²</t>
  </si>
  <si>
    <t>[(0,45 X 0,80 X 4)+(0,15 X 0,45 X 4)] (FACES DAS BASES DOS BANCOS) X 6 (QUANTIDADE DE BANCOS) = 10,26M²</t>
  </si>
  <si>
    <t>[(0,80 X 0,20 X 2) + (2,00 X 0,20 X 2) + (2,00 X 0,80) + (1,20 X 0,80) + (0,25 X 0,80 X2) + (0,45 X 0,80 X 4) X (0,15 X 0,45 X 4)] (FACES DOS BANCOS) X 6 (QUANTIDADE DE BANCOS) = 34,74M²</t>
  </si>
  <si>
    <t>01 (UMA) PARA CADA PRAÇA</t>
  </si>
  <si>
    <t>74231/001</t>
  </si>
  <si>
    <t>LUMINARIA ABERTA PARA ILUMINACAO PUBLICA, PARA LAMPADA A VAPOR DE MERCURIO ATE 400W E MISTA ATE 500W, COM BRACO EM TUBO DE ACO GALV D=50MM P
ROJ HOR=2.500MM E PROJ VERT= 2.200MM, FORNECIMENTO E INSTALACAO</t>
  </si>
  <si>
    <t>3 POSTES</t>
  </si>
  <si>
    <t>4 POSTES</t>
  </si>
  <si>
    <t>2 POSTES</t>
  </si>
  <si>
    <t>SERVIÇO EXECUTADO PELA EMPRESA WA CONSTRUTORA</t>
  </si>
  <si>
    <t>SERVIÇO À EXECUTAR</t>
  </si>
  <si>
    <t>SERVIÇOS PRELIMINARES</t>
  </si>
  <si>
    <t>PRAÇA IVO ABDON FERRARI - UIRAPURU</t>
  </si>
  <si>
    <t>PRAÇA ALFEU ALVES MAGALHÃES</t>
  </si>
  <si>
    <t>PRAÇA JOÃO FRANCISCO DE ASSIS</t>
  </si>
  <si>
    <t>RELE FOTOELÉTRICO / COMANDO DE ILUMINÇÃO EXTERNA 220V/1000W</t>
  </si>
  <si>
    <t>74130/002</t>
  </si>
  <si>
    <t>DISJUNTOR TERMOMAGNETICO MONOPOLAR PADRAO NEMA (AMERICANO) 35 A 50A - FORNECIMENTO E INSTALACAO</t>
  </si>
  <si>
    <t xml:space="preserve"> DISJUNTOR TERMOMAGNETICO MONOPOLAR PADRAO NEMA (AMERICANO) 10 A 30A - FORNECIMENTO E INSTALACAO</t>
  </si>
  <si>
    <t>REATOR PARA LAMPADA VAPOR DE MERCURIO USO EXTERNO 220V/400W</t>
  </si>
  <si>
    <t>CONECTOR PARAFUSO FENDIDO SPLIT-BOLT - PARA CABO DE 16MM2 - FORNECIMENTO E INSTALACAO</t>
  </si>
  <si>
    <t>CURVA 90 GRAUS PARA ELETRODUTO, PVC, ROSCÁVEL, DN 32 MM - FORNECIMENTO E INSTALAÇÃO.</t>
  </si>
  <si>
    <t>ENTRADA DE ENERGIA ELÉTRICA AÉREA MONOFÁSICA 50A COM POSTE DE CONCRETO, INCLUSIVE CABEAMENTO, CAIXA DE PROTEÇÃO PARA MEDIDOR E ATERRAMENTO.</t>
  </si>
  <si>
    <t xml:space="preserve">Prazo de Execução: 60 dias </t>
  </si>
  <si>
    <t>Prazo de Execução: 60 dias</t>
  </si>
  <si>
    <t>2 LUMINÁRIAS PARA CADA POSTE = 6 LUMINÁRIAS</t>
  </si>
  <si>
    <t>2 LÂMPADAS PARA CADA POSTE = 6 LÂMPADAS</t>
  </si>
  <si>
    <t>1 (UMA) CAIXA PARA CADA POSTE E 1 PARA A ENTRADA DE ENERGIA = 4 CAIXAS DE PASSAGEM</t>
  </si>
  <si>
    <t>01 (UM) PARA CADA POSTE X 3 POSTES= 3 RELES</t>
  </si>
  <si>
    <t>1 (UM) REATOR PARA CADA LÂMPADA = 6 REATORES</t>
  </si>
  <si>
    <t>PLACA DE OBRA DE DIMENSÕES 2,50X4,00 TOTALIZANDO 10M²</t>
  </si>
  <si>
    <t>1 (UM) REATOR PARA CADA LÂMPADA = 8 REATORES</t>
  </si>
  <si>
    <t>01 (UM) PARA CADA POSTE X 4 POSTES= 4 RELES</t>
  </si>
  <si>
    <t>1 (UMA) CAIXA PARA CADA POSTE E 1 PARA A ENTRADA DE ENERGIA = 5 CAIXAS DE PASSAGEM</t>
  </si>
  <si>
    <t>2 LÂMPADAS PARA CADA POSTE = 8 LÂMPADAS</t>
  </si>
  <si>
    <t>2 LUMINÁRIAS PARA CADA POSTE = 8 LUMINÁRIAS</t>
  </si>
  <si>
    <t>ÁREA DO PASSEIO</t>
  </si>
  <si>
    <t>1 (UM) REATOR PARA CADA LÂMPADA = 4 REATORES</t>
  </si>
  <si>
    <t>01 (UM) PARA CADA POSTE X 2 POSTES= 2 RELES</t>
  </si>
  <si>
    <t>1 (UMA) CAIXA PARA CADA POSTE E 1 PARA A ENTRADA DE ENERGIA = 3 CAIXAS DE PASSAGEM</t>
  </si>
  <si>
    <t>2 LUMINÁRIAS PARA CADA POSTE = 4 LUMINÁRIAS</t>
  </si>
  <si>
    <t>2 LÂMPADAS PARA CADA POSTE = 4 LÂMPADAS</t>
  </si>
  <si>
    <t>6 HORAS DIÁRIAS X 60 DIAS</t>
  </si>
  <si>
    <t>MEIO-FIO E SARJETA DE CONCRETO MOLDADO NO LOCAL, USINADO 15 MPA, COM 0,45 M BASE X 0,30 M ALTURA, REJUNTE EM ARGAMASSA TRACO 1:3,5 (CIMENTO E AREIA)</t>
  </si>
  <si>
    <t>QUADRO DE DISTRIBUICAO DE ENERGIA P/ 6 DISJUNTORES TERMOMAGNETICOS MONOPOLARES, EM CHAPA METALICA - FORNECIMENTO E INSTALACAO</t>
  </si>
  <si>
    <t xml:space="preserve"> CABO DE COBRE NU 10MM2 - FORNECIMENTO E INSTALACAO </t>
  </si>
  <si>
    <t>ELETRODUTO FLEXÍVEL CORRUGADO, PVC, DN 32 MM (1"), PARA CIRCUITOS TERMINAIS - FORNECIMENTO E INSTALAÇÃO</t>
  </si>
  <si>
    <t>ELETRODUTO RÍGIDO ROSCÁVEL, PVC, DN 32 MM (1"), PARA CIRCUITOS TERMINAIS - FORNECIMENTO E INSTALAÇÃO</t>
  </si>
  <si>
    <t>LUVA PARA ELETRODUTO, PVC, ROSCÁVEL, DN 32 MM (1"), PARA CIRCUITOS TERMINAIS - FORNECIMENTO E INSTALAÇÃO</t>
  </si>
  <si>
    <t>CABO DE COBRE FLEXÍVEL ISOLADO, 4 MM², ANTI-CHAMA 0,6/1,0 KV - FORNECIMENTO E INSTALAÇÃO - PRETO</t>
  </si>
  <si>
    <t>CABO DE COBRE FLEXÍVEL ISOLADO, 4 MM², ANTI-CHAMA 0,6/1,0 KV - FORNECIMENTO E INSTALAÇÃO - AZUL CLARO</t>
  </si>
  <si>
    <t>CABO DE COBRE FLEXÍVEL ISOLADO, 4 MM², ANTI-CHAMA 0,6/1,0 KV - FORNECIMENTO E INSTALAÇÃO - VERDE</t>
  </si>
  <si>
    <t xml:space="preserve">CABO DE COBRE NU 10MM2 - FORNECIMENTO E INSTALACAO </t>
  </si>
  <si>
    <t>AGETOP</t>
  </si>
  <si>
    <t>Declaro que os encargos sociais atendem o estabelecido no SINAPI</t>
  </si>
  <si>
    <t>PRAÇA ROMILDA SUBSTITUÍDA PELA PRAÇA IVO ABDON FERRARI - UIRAPURU</t>
  </si>
  <si>
    <t>PRAÇA PAULO ROMANO</t>
  </si>
  <si>
    <t>PRAÇA DENNER PEDRO</t>
  </si>
  <si>
    <t>PRAÇA SEBASTIÃO DE OLIVEIRA 1</t>
  </si>
  <si>
    <t>TABELA OFICIAL: SINAPI - MAIO 2016 / AGETOP OUTUBRO/2016</t>
  </si>
  <si>
    <t>TRANSPORTES</t>
  </si>
  <si>
    <t>ESTRUTURA</t>
  </si>
  <si>
    <t>INSTALAÇÕES HIDRO-SANITÁRIAS</t>
  </si>
  <si>
    <t>REVESTIMENTO DE PISO</t>
  </si>
  <si>
    <t>BANCO</t>
  </si>
  <si>
    <t>CRONOGRAMA GERAL TOTAL</t>
  </si>
  <si>
    <t>SERVIÇOS EXECUTADOS PELA AWA CONSTRUTORA</t>
  </si>
  <si>
    <t>SERVIÇOS A LICITAR</t>
  </si>
  <si>
    <t>1ª MEDIÇÃO PERÍODO: DE 08/03/2010 À 01/04/2010</t>
  </si>
  <si>
    <t>ORÇAMENTO PARA 4 PRAÇAS</t>
  </si>
  <si>
    <t>CRONOGRAMA PARA 4 PRAÇAS</t>
  </si>
  <si>
    <t>MEMÓRIA DE CÁLCULO PARA 4 PRAÇAS</t>
  </si>
  <si>
    <t>DETALHAMENTO DO BDI PARA 4 PRAÇAS</t>
  </si>
  <si>
    <t>JOÃO BARBOSA DE OLIVEIRA</t>
  </si>
  <si>
    <t>PLACA DE OBRA EM CHAPA METÁLICA 26 COM PINTURA, AFIXADA EM CAVALETES DE MADEIRA DE LEI (VIGOTAS 6X12CM) - PADRÃO AGETOP 2,5X4,00</t>
  </si>
  <si>
    <t>BDI 28,9%</t>
  </si>
  <si>
    <t>BDI 28,90%</t>
  </si>
  <si>
    <t>Piracanjuba, 22/06/2017</t>
  </si>
  <si>
    <t xml:space="preserve">ÁREA DO PASSEIO 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</si>
</sst>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General\.&quot;0&quot;"/>
    <numFmt numFmtId="166" formatCode="#,##0.00_ ;[Red]\-#,##0.00\ "/>
    <numFmt numFmtId="167" formatCode="_-* #,##0.00_-;\-* #,##0.00_-;_-* \-??_-;_-@_-"/>
    <numFmt numFmtId="168" formatCode="_-&quot;R$ &quot;* #,##0.00_-;&quot;-R$ &quot;* #,##0.00_-;_-&quot;R$ &quot;* \-??_-;_-@_-"/>
    <numFmt numFmtId="169" formatCode="_(* #,##0.00_);_(* \(#,##0.00\);_(* \-??_);_(@_)"/>
    <numFmt numFmtId="170" formatCode="0.0%"/>
    <numFmt numFmtId="171" formatCode="0.000%"/>
    <numFmt numFmtId="172" formatCode="#,##0.0"/>
    <numFmt numFmtId="173" formatCode="#,##0.000"/>
    <numFmt numFmtId="174" formatCode="#,##0.0000"/>
    <numFmt numFmtId="175" formatCode="&quot;R$ &quot;#,##0.00"/>
    <numFmt numFmtId="176" formatCode="_(&quot;R$ &quot;* #,##0.00_);_(&quot;R$ &quot;* \(#,##0.00\);_(&quot;R$ &quot;* &quot;-&quot;??_);_(@_)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  <numFmt numFmtId="183" formatCode="_-* #,##0.000000000_-;\-* #,##0.000000000_-;_-* &quot;-&quot;??_-;_-@_-"/>
    <numFmt numFmtId="184" formatCode="_-* #,##0.0000000000_-;\-* #,##0.0000000000_-;_-* &quot;-&quot;??_-;_-@_-"/>
    <numFmt numFmtId="185" formatCode="_-* #,##0.00000000000_-;\-* #,##0.00000000000_-;_-* &quot;-&quot;??_-;_-@_-"/>
    <numFmt numFmtId="186" formatCode="_-* #,##0.000000000000_-;\-* #,##0.000000000000_-;_-* &quot;-&quot;??_-;_-@_-"/>
    <numFmt numFmtId="187" formatCode="_-* #,##0.0000000000000_-;\-* #,##0.0000000000000_-;_-* &quot;-&quot;??_-;_-@_-"/>
    <numFmt numFmtId="188" formatCode="_-* #,##0.00000000000000_-;\-* #,##0.00000000000000_-;_-* &quot;-&quot;??_-;_-@_-"/>
    <numFmt numFmtId="189" formatCode="_-* #,##0.000000000000000_-;\-* #,##0.000000000000000_-;_-* &quot;-&quot;??_-;_-@_-"/>
    <numFmt numFmtId="190" formatCode="_-* #,##0.0000000000000000_-;\-* #,##0.0000000000000000_-;_-* &quot;-&quot;??_-;_-@_-"/>
    <numFmt numFmtId="191" formatCode="_-* #,##0.00000000000000000_-;\-* #,##0.00000000000000000_-;_-* &quot;-&quot;??_-;_-@_-"/>
    <numFmt numFmtId="192" formatCode="_-* #,##0.000000000000000000_-;\-* #,##0.000000000000000000_-;_-* &quot;-&quot;??_-;_-@_-"/>
    <numFmt numFmtId="193" formatCode="_-* #,##0.0000000000000000000_-;\-* #,##0.0000000000000000000_-;_-* &quot;-&quot;??_-;_-@_-"/>
    <numFmt numFmtId="194" formatCode="_-* #,##0.00000000000000000000_-;\-* #,##0.00000000000000000000_-;_-* &quot;-&quot;??_-;_-@_-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  <numFmt numFmtId="199" formatCode="0.0"/>
    <numFmt numFmtId="200" formatCode="[$-416]dddd\,\ d&quot; de &quot;mmmm&quot; de &quot;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name val="Arial Narrow"/>
      <family val="2"/>
    </font>
    <font>
      <sz val="9"/>
      <name val="Arial Narrow"/>
      <family val="2"/>
    </font>
    <font>
      <u val="single"/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Verdana"/>
      <family val="2"/>
    </font>
    <font>
      <b/>
      <sz val="9.95"/>
      <color indexed="8"/>
      <name val="Arial Narrow"/>
      <family val="2"/>
    </font>
    <font>
      <u val="single"/>
      <sz val="14"/>
      <color indexed="8"/>
      <name val="Arial Narrow"/>
      <family val="2"/>
    </font>
    <font>
      <sz val="16"/>
      <color indexed="17"/>
      <name val="Elephant"/>
      <family val="1"/>
    </font>
    <font>
      <b/>
      <sz val="12"/>
      <color indexed="43"/>
      <name val="Arial Narrow"/>
      <family val="2"/>
    </font>
    <font>
      <sz val="12"/>
      <color indexed="9"/>
      <name val="Arial Narrow"/>
      <family val="2"/>
    </font>
    <font>
      <b/>
      <sz val="10"/>
      <color indexed="8"/>
      <name val="Arial Narrow"/>
      <family val="2"/>
    </font>
    <font>
      <sz val="16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rgb="FF000000"/>
      <name val="Verdana"/>
      <family val="2"/>
    </font>
    <font>
      <b/>
      <sz val="9.95"/>
      <color rgb="FF000000"/>
      <name val="Arial Narrow"/>
      <family val="2"/>
    </font>
    <font>
      <u val="single"/>
      <sz val="14"/>
      <color theme="1"/>
      <name val="Arial Narrow"/>
      <family val="2"/>
    </font>
    <font>
      <sz val="16"/>
      <color rgb="FF008000"/>
      <name val="Elephant"/>
      <family val="1"/>
    </font>
    <font>
      <b/>
      <sz val="12"/>
      <color rgb="FFFFFF99"/>
      <name val="Arial Narrow"/>
      <family val="2"/>
    </font>
    <font>
      <sz val="10"/>
      <color theme="1" tint="0.04998999834060669"/>
      <name val="Arial Narrow"/>
      <family val="2"/>
    </font>
    <font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Narrow"/>
      <family val="2"/>
    </font>
    <font>
      <sz val="10"/>
      <color rgb="FF000000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rgb="FF000000"/>
      <name val="Arial Narrow"/>
      <family val="2"/>
    </font>
    <font>
      <u val="single"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000000"/>
      <name val="Arial Narrow"/>
      <family val="2"/>
    </font>
    <font>
      <b/>
      <u val="single"/>
      <sz val="18"/>
      <color rgb="FF000000"/>
      <name val="Arial Narrow"/>
      <family val="2"/>
    </font>
    <font>
      <b/>
      <u val="single"/>
      <sz val="14"/>
      <color rgb="FF000000"/>
      <name val="Arial Narrow"/>
      <family val="2"/>
    </font>
    <font>
      <b/>
      <sz val="9"/>
      <color theme="1"/>
      <name val="Arial Narrow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25" borderId="0" applyNumberFormat="0" applyBorder="0" applyAlignment="0" applyProtection="0"/>
    <xf numFmtId="0" fontId="52" fillId="26" borderId="0" applyNumberFormat="0" applyBorder="0" applyAlignment="0" applyProtection="0"/>
    <xf numFmtId="0" fontId="3" fillId="17" borderId="0" applyNumberFormat="0" applyBorder="0" applyAlignment="0" applyProtection="0"/>
    <xf numFmtId="0" fontId="52" fillId="27" borderId="0" applyNumberFormat="0" applyBorder="0" applyAlignment="0" applyProtection="0"/>
    <xf numFmtId="0" fontId="3" fillId="19" borderId="0" applyNumberFormat="0" applyBorder="0" applyAlignment="0" applyProtection="0"/>
    <xf numFmtId="0" fontId="52" fillId="28" borderId="0" applyNumberFormat="0" applyBorder="0" applyAlignment="0" applyProtection="0"/>
    <xf numFmtId="0" fontId="3" fillId="29" borderId="0" applyNumberFormat="0" applyBorder="0" applyAlignment="0" applyProtection="0"/>
    <xf numFmtId="0" fontId="52" fillId="30" borderId="0" applyNumberFormat="0" applyBorder="0" applyAlignment="0" applyProtection="0"/>
    <xf numFmtId="0" fontId="3" fillId="31" borderId="0" applyNumberFormat="0" applyBorder="0" applyAlignment="0" applyProtection="0"/>
    <xf numFmtId="0" fontId="52" fillId="32" borderId="0" applyNumberFormat="0" applyBorder="0" applyAlignment="0" applyProtection="0"/>
    <xf numFmtId="0" fontId="3" fillId="33" borderId="0" applyNumberFormat="0" applyBorder="0" applyAlignment="0" applyProtection="0"/>
    <xf numFmtId="0" fontId="53" fillId="34" borderId="0" applyNumberFormat="0" applyBorder="0" applyAlignment="0" applyProtection="0"/>
    <xf numFmtId="0" fontId="4" fillId="7" borderId="0" applyNumberFormat="0" applyBorder="0" applyAlignment="0" applyProtection="0"/>
    <xf numFmtId="0" fontId="54" fillId="35" borderId="1" applyNumberFormat="0" applyAlignment="0" applyProtection="0"/>
    <xf numFmtId="0" fontId="5" fillId="36" borderId="2" applyNumberFormat="0" applyAlignment="0" applyProtection="0"/>
    <xf numFmtId="0" fontId="55" fillId="37" borderId="3" applyNumberFormat="0" applyAlignment="0" applyProtection="0"/>
    <xf numFmtId="0" fontId="6" fillId="38" borderId="4" applyNumberFormat="0" applyAlignment="0" applyProtection="0"/>
    <xf numFmtId="0" fontId="56" fillId="0" borderId="5" applyNumberFormat="0" applyFill="0" applyAlignment="0" applyProtection="0"/>
    <xf numFmtId="0" fontId="7" fillId="0" borderId="6" applyNumberFormat="0" applyFill="0" applyAlignment="0" applyProtection="0"/>
    <xf numFmtId="0" fontId="52" fillId="39" borderId="0" applyNumberFormat="0" applyBorder="0" applyAlignment="0" applyProtection="0"/>
    <xf numFmtId="0" fontId="3" fillId="40" borderId="0" applyNumberFormat="0" applyBorder="0" applyAlignment="0" applyProtection="0"/>
    <xf numFmtId="0" fontId="52" fillId="41" borderId="0" applyNumberFormat="0" applyBorder="0" applyAlignment="0" applyProtection="0"/>
    <xf numFmtId="0" fontId="3" fillId="42" borderId="0" applyNumberFormat="0" applyBorder="0" applyAlignment="0" applyProtection="0"/>
    <xf numFmtId="0" fontId="52" fillId="43" borderId="0" applyNumberFormat="0" applyBorder="0" applyAlignment="0" applyProtection="0"/>
    <xf numFmtId="0" fontId="3" fillId="44" borderId="0" applyNumberFormat="0" applyBorder="0" applyAlignment="0" applyProtection="0"/>
    <xf numFmtId="0" fontId="52" fillId="45" borderId="0" applyNumberFormat="0" applyBorder="0" applyAlignment="0" applyProtection="0"/>
    <xf numFmtId="0" fontId="3" fillId="29" borderId="0" applyNumberFormat="0" applyBorder="0" applyAlignment="0" applyProtection="0"/>
    <xf numFmtId="0" fontId="52" fillId="46" borderId="0" applyNumberFormat="0" applyBorder="0" applyAlignment="0" applyProtection="0"/>
    <xf numFmtId="0" fontId="3" fillId="31" borderId="0" applyNumberFormat="0" applyBorder="0" applyAlignment="0" applyProtection="0"/>
    <xf numFmtId="0" fontId="52" fillId="47" borderId="0" applyNumberFormat="0" applyBorder="0" applyAlignment="0" applyProtection="0"/>
    <xf numFmtId="0" fontId="3" fillId="48" borderId="0" applyNumberFormat="0" applyBorder="0" applyAlignment="0" applyProtection="0"/>
    <xf numFmtId="0" fontId="57" fillId="49" borderId="1" applyNumberFormat="0" applyAlignment="0" applyProtection="0"/>
    <xf numFmtId="0" fontId="8" fillId="13" borderId="2" applyNumberFormat="0" applyAlignment="0" applyProtection="0"/>
    <xf numFmtId="167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10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35" borderId="9" applyNumberFormat="0" applyAlignment="0" applyProtection="0"/>
    <xf numFmtId="0" fontId="11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67" fillId="0" borderId="13" applyNumberFormat="0" applyFill="0" applyAlignment="0" applyProtection="0"/>
    <xf numFmtId="0" fontId="16" fillId="0" borderId="14" applyNumberFormat="0" applyFill="0" applyAlignment="0" applyProtection="0"/>
    <xf numFmtId="0" fontId="68" fillId="0" borderId="15" applyNumberFormat="0" applyFill="0" applyAlignment="0" applyProtection="0"/>
    <xf numFmtId="0" fontId="17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18" fillId="0" borderId="18" applyNumberFormat="0" applyFill="0" applyAlignment="0" applyProtection="0"/>
    <xf numFmtId="164" fontId="2" fillId="0" borderId="0" applyFont="0" applyFill="0" applyBorder="0" applyAlignment="0" applyProtection="0"/>
  </cellStyleXfs>
  <cellXfs count="407">
    <xf numFmtId="0" fontId="0" fillId="0" borderId="0" xfId="0" applyFont="1" applyAlignment="1">
      <alignment/>
    </xf>
    <xf numFmtId="0" fontId="70" fillId="0" borderId="19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3" fontId="19" fillId="0" borderId="0" xfId="93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43" fontId="70" fillId="0" borderId="0" xfId="93" applyFont="1" applyFill="1" applyBorder="1" applyAlignment="1">
      <alignment horizontal="center" vertical="center" wrapText="1"/>
    </xf>
    <xf numFmtId="166" fontId="70" fillId="0" borderId="0" xfId="0" applyNumberFormat="1" applyFont="1" applyFill="1" applyBorder="1" applyAlignment="1">
      <alignment horizontal="center" vertical="center" wrapText="1"/>
    </xf>
    <xf numFmtId="43" fontId="70" fillId="0" borderId="0" xfId="93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43" fontId="19" fillId="0" borderId="19" xfId="93" applyFont="1" applyFill="1" applyBorder="1" applyAlignment="1">
      <alignment horizontal="center" vertical="center" wrapText="1"/>
    </xf>
    <xf numFmtId="43" fontId="70" fillId="55" borderId="19" xfId="93" applyFont="1" applyFill="1" applyBorder="1" applyAlignment="1">
      <alignment horizontal="center" vertical="center" wrapText="1"/>
    </xf>
    <xf numFmtId="43" fontId="19" fillId="56" borderId="19" xfId="93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57" borderId="0" xfId="0" applyFont="1" applyFill="1" applyAlignment="1">
      <alignment horizontal="left" vertical="center" wrapText="1"/>
    </xf>
    <xf numFmtId="4" fontId="20" fillId="0" borderId="19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right" vertical="center"/>
    </xf>
    <xf numFmtId="9" fontId="20" fillId="0" borderId="19" xfId="89" applyFont="1" applyFill="1" applyBorder="1" applyAlignment="1">
      <alignment horizontal="right" vertical="center"/>
    </xf>
    <xf numFmtId="10" fontId="20" fillId="0" borderId="19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10" fontId="20" fillId="0" borderId="0" xfId="0" applyNumberFormat="1" applyFont="1" applyBorder="1" applyAlignment="1">
      <alignment horizontal="right" vertical="center"/>
    </xf>
    <xf numFmtId="9" fontId="20" fillId="0" borderId="0" xfId="0" applyNumberFormat="1" applyFont="1" applyFill="1" applyBorder="1" applyAlignment="1">
      <alignment horizontal="right" vertical="center"/>
    </xf>
    <xf numFmtId="9" fontId="20" fillId="0" borderId="0" xfId="89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0" fillId="58" borderId="19" xfId="0" applyFont="1" applyFill="1" applyBorder="1" applyAlignment="1">
      <alignment vertical="center" wrapText="1"/>
    </xf>
    <xf numFmtId="0" fontId="70" fillId="58" borderId="19" xfId="0" applyFont="1" applyFill="1" applyBorder="1" applyAlignment="1">
      <alignment horizontal="center" vertical="center" wrapText="1"/>
    </xf>
    <xf numFmtId="4" fontId="20" fillId="58" borderId="19" xfId="0" applyNumberFormat="1" applyFont="1" applyFill="1" applyBorder="1" applyAlignment="1">
      <alignment horizontal="right" vertical="center"/>
    </xf>
    <xf numFmtId="10" fontId="20" fillId="55" borderId="19" xfId="0" applyNumberFormat="1" applyFont="1" applyFill="1" applyBorder="1" applyAlignment="1">
      <alignment horizontal="right" vertical="center"/>
    </xf>
    <xf numFmtId="9" fontId="20" fillId="0" borderId="19" xfId="89" applyNumberFormat="1" applyFont="1" applyFill="1" applyBorder="1" applyAlignment="1">
      <alignment horizontal="right" vertical="center"/>
    </xf>
    <xf numFmtId="9" fontId="20" fillId="0" borderId="19" xfId="0" applyNumberFormat="1" applyFont="1" applyFill="1" applyBorder="1" applyAlignment="1">
      <alignment horizontal="right" vertical="center"/>
    </xf>
    <xf numFmtId="0" fontId="70" fillId="55" borderId="19" xfId="0" applyFont="1" applyFill="1" applyBorder="1" applyAlignment="1">
      <alignment horizontal="right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center" vertical="center" wrapText="1"/>
    </xf>
    <xf numFmtId="43" fontId="19" fillId="55" borderId="19" xfId="93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70" fillId="0" borderId="19" xfId="0" applyFont="1" applyFill="1" applyBorder="1" applyAlignment="1">
      <alignment horizontal="justify" vertical="center" wrapText="1"/>
    </xf>
    <xf numFmtId="0" fontId="70" fillId="59" borderId="19" xfId="0" applyFont="1" applyFill="1" applyBorder="1" applyAlignment="1">
      <alignment horizontal="right" vertical="center" wrapText="1"/>
    </xf>
    <xf numFmtId="43" fontId="70" fillId="59" borderId="19" xfId="93" applyFont="1" applyFill="1" applyBorder="1" applyAlignment="1">
      <alignment horizontal="center" vertical="center" wrapText="1"/>
    </xf>
    <xf numFmtId="43" fontId="19" fillId="0" borderId="22" xfId="93" applyFont="1" applyFill="1" applyBorder="1" applyAlignment="1">
      <alignment vertical="center" wrapText="1"/>
    </xf>
    <xf numFmtId="43" fontId="19" fillId="55" borderId="23" xfId="93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/>
    </xf>
    <xf numFmtId="0" fontId="20" fillId="57" borderId="21" xfId="0" applyFont="1" applyFill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57" borderId="2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57" borderId="24" xfId="0" applyFont="1" applyFill="1" applyBorder="1" applyAlignment="1">
      <alignment horizontal="center" vertical="center"/>
    </xf>
    <xf numFmtId="10" fontId="20" fillId="0" borderId="20" xfId="0" applyNumberFormat="1" applyFont="1" applyFill="1" applyBorder="1" applyAlignment="1">
      <alignment horizontal="right" vertical="center"/>
    </xf>
    <xf numFmtId="9" fontId="20" fillId="0" borderId="20" xfId="89" applyFont="1" applyFill="1" applyBorder="1" applyAlignment="1">
      <alignment horizontal="right" vertical="center"/>
    </xf>
    <xf numFmtId="9" fontId="20" fillId="58" borderId="19" xfId="89" applyFont="1" applyFill="1" applyBorder="1" applyAlignment="1">
      <alignment horizontal="right" vertical="center"/>
    </xf>
    <xf numFmtId="0" fontId="21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4" fontId="20" fillId="0" borderId="27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4" fontId="24" fillId="33" borderId="23" xfId="0" applyNumberFormat="1" applyFont="1" applyFill="1" applyBorder="1" applyAlignment="1" applyProtection="1">
      <alignment vertical="center" wrapText="1"/>
      <protection locked="0"/>
    </xf>
    <xf numFmtId="4" fontId="24" fillId="33" borderId="28" xfId="0" applyNumberFormat="1" applyFont="1" applyFill="1" applyBorder="1" applyAlignment="1" applyProtection="1">
      <alignment vertical="center" wrapText="1"/>
      <protection locked="0"/>
    </xf>
    <xf numFmtId="4" fontId="24" fillId="0" borderId="0" xfId="0" applyNumberFormat="1" applyFont="1" applyAlignment="1" applyProtection="1">
      <alignment vertical="center" wrapText="1"/>
      <protection locked="0"/>
    </xf>
    <xf numFmtId="4" fontId="24" fillId="33" borderId="19" xfId="0" applyNumberFormat="1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wrapText="1"/>
      <protection locked="0"/>
    </xf>
    <xf numFmtId="2" fontId="24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/>
      <protection locked="0"/>
    </xf>
    <xf numFmtId="4" fontId="23" fillId="0" borderId="29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4" fontId="23" fillId="0" borderId="0" xfId="0" applyNumberFormat="1" applyFont="1" applyFill="1" applyAlignment="1" applyProtection="1">
      <alignment horizontal="right" vertical="center"/>
      <protection locked="0"/>
    </xf>
    <xf numFmtId="4" fontId="23" fillId="0" borderId="0" xfId="0" applyNumberFormat="1" applyFont="1" applyFill="1" applyAlignment="1" applyProtection="1">
      <alignment vertical="center"/>
      <protection locked="0"/>
    </xf>
    <xf numFmtId="2" fontId="23" fillId="0" borderId="0" xfId="0" applyNumberFormat="1" applyFont="1" applyAlignment="1" applyProtection="1">
      <alignment horizontal="center" vertical="center"/>
      <protection locked="0"/>
    </xf>
    <xf numFmtId="2" fontId="23" fillId="0" borderId="0" xfId="0" applyNumberFormat="1" applyFont="1" applyAlignment="1" applyProtection="1">
      <alignment vertical="center"/>
      <protection locked="0"/>
    </xf>
    <xf numFmtId="4" fontId="24" fillId="0" borderId="0" xfId="0" applyNumberFormat="1" applyFont="1" applyBorder="1" applyAlignment="1" applyProtection="1">
      <alignment vertical="center"/>
      <protection locked="0"/>
    </xf>
    <xf numFmtId="4" fontId="24" fillId="0" borderId="0" xfId="0" applyNumberFormat="1" applyFont="1" applyFill="1" applyAlignment="1" applyProtection="1">
      <alignment horizontal="right" vertical="center"/>
      <protection locked="0"/>
    </xf>
    <xf numFmtId="4" fontId="24" fillId="0" borderId="0" xfId="0" applyNumberFormat="1" applyFont="1" applyFill="1" applyAlignment="1" applyProtection="1">
      <alignment vertical="center"/>
      <protection locked="0"/>
    </xf>
    <xf numFmtId="2" fontId="24" fillId="0" borderId="0" xfId="0" applyNumberFormat="1" applyFont="1" applyAlignment="1" applyProtection="1">
      <alignment horizontal="center" vertical="center"/>
      <protection locked="0"/>
    </xf>
    <xf numFmtId="2" fontId="24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24" fillId="0" borderId="0" xfId="86" applyNumberFormat="1" applyFont="1" applyFill="1" applyBorder="1" applyProtection="1">
      <alignment/>
      <protection locked="0"/>
    </xf>
    <xf numFmtId="0" fontId="24" fillId="0" borderId="0" xfId="0" applyFont="1" applyBorder="1" applyAlignment="1" applyProtection="1">
      <alignment vertical="center"/>
      <protection locked="0"/>
    </xf>
    <xf numFmtId="1" fontId="26" fillId="0" borderId="0" xfId="86" applyNumberFormat="1" applyFont="1" applyFill="1" applyBorder="1" applyProtection="1">
      <alignment/>
      <protection locked="0"/>
    </xf>
    <xf numFmtId="2" fontId="24" fillId="0" borderId="0" xfId="86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1" fontId="20" fillId="0" borderId="0" xfId="86" applyNumberFormat="1" applyFont="1" applyFill="1" applyBorder="1" applyProtection="1">
      <alignment/>
      <protection locked="0"/>
    </xf>
    <xf numFmtId="2" fontId="20" fillId="0" borderId="0" xfId="8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2" fontId="20" fillId="0" borderId="0" xfId="86" applyNumberFormat="1" applyFont="1" applyFill="1" applyBorder="1" applyProtection="1">
      <alignment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10" fontId="74" fillId="0" borderId="0" xfId="89" applyNumberFormat="1" applyFont="1" applyAlignment="1">
      <alignment vertical="center" wrapText="1"/>
    </xf>
    <xf numFmtId="9" fontId="74" fillId="0" borderId="0" xfId="89" applyFont="1" applyAlignment="1">
      <alignment vertical="center" wrapText="1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0" fontId="28" fillId="0" borderId="0" xfId="89" applyNumberFormat="1" applyFont="1" applyAlignment="1">
      <alignment horizontal="left" vertical="center" wrapText="1"/>
    </xf>
    <xf numFmtId="0" fontId="75" fillId="60" borderId="0" xfId="0" applyFont="1" applyFill="1" applyAlignment="1">
      <alignment horizontal="right" vertical="center"/>
    </xf>
    <xf numFmtId="175" fontId="75" fillId="60" borderId="0" xfId="0" applyNumberFormat="1" applyFont="1" applyFill="1" applyAlignment="1">
      <alignment horizontal="left" vertical="center"/>
    </xf>
    <xf numFmtId="175" fontId="19" fillId="0" borderId="0" xfId="0" applyNumberFormat="1" applyFont="1" applyBorder="1" applyAlignment="1">
      <alignment vertical="center"/>
    </xf>
    <xf numFmtId="10" fontId="19" fillId="0" borderId="0" xfId="89" applyNumberFormat="1" applyFont="1" applyAlignment="1">
      <alignment vertical="center"/>
    </xf>
    <xf numFmtId="0" fontId="76" fillId="59" borderId="19" xfId="0" applyFont="1" applyFill="1" applyBorder="1" applyAlignment="1">
      <alignment vertical="center"/>
    </xf>
    <xf numFmtId="0" fontId="76" fillId="59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0" fontId="19" fillId="0" borderId="19" xfId="89" applyNumberFormat="1" applyFont="1" applyFill="1" applyBorder="1" applyAlignment="1">
      <alignment horizontal="center" vertical="center"/>
    </xf>
    <xf numFmtId="0" fontId="19" fillId="61" borderId="19" xfId="0" applyFont="1" applyFill="1" applyBorder="1" applyAlignment="1">
      <alignment horizontal="center" vertical="center"/>
    </xf>
    <xf numFmtId="0" fontId="19" fillId="61" borderId="19" xfId="0" applyFont="1" applyFill="1" applyBorder="1" applyAlignment="1">
      <alignment vertical="center"/>
    </xf>
    <xf numFmtId="2" fontId="19" fillId="0" borderId="19" xfId="0" applyNumberFormat="1" applyFont="1" applyBorder="1" applyAlignment="1">
      <alignment horizontal="right" vertical="center"/>
    </xf>
    <xf numFmtId="10" fontId="19" fillId="61" borderId="19" xfId="89" applyNumberFormat="1" applyFont="1" applyFill="1" applyBorder="1" applyAlignment="1">
      <alignment horizontal="right" vertical="center"/>
    </xf>
    <xf numFmtId="4" fontId="19" fillId="61" borderId="19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10" fontId="27" fillId="0" borderId="0" xfId="0" applyNumberFormat="1" applyFont="1" applyAlignment="1">
      <alignment vertical="center"/>
    </xf>
    <xf numFmtId="2" fontId="19" fillId="0" borderId="19" xfId="0" applyNumberFormat="1" applyFont="1" applyBorder="1" applyAlignment="1">
      <alignment vertical="center"/>
    </xf>
    <xf numFmtId="10" fontId="19" fillId="0" borderId="19" xfId="89" applyNumberFormat="1" applyFont="1" applyBorder="1" applyAlignment="1">
      <alignment vertical="center"/>
    </xf>
    <xf numFmtId="4" fontId="19" fillId="0" borderId="19" xfId="0" applyNumberFormat="1" applyFont="1" applyBorder="1" applyAlignment="1">
      <alignment vertical="center"/>
    </xf>
    <xf numFmtId="10" fontId="19" fillId="61" borderId="19" xfId="89" applyNumberFormat="1" applyFont="1" applyFill="1" applyBorder="1" applyAlignment="1">
      <alignment vertical="center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left" vertical="center"/>
    </xf>
    <xf numFmtId="2" fontId="19" fillId="55" borderId="19" xfId="0" applyNumberFormat="1" applyFont="1" applyFill="1" applyBorder="1" applyAlignment="1">
      <alignment vertical="center"/>
    </xf>
    <xf numFmtId="10" fontId="19" fillId="55" borderId="19" xfId="89" applyNumberFormat="1" applyFont="1" applyFill="1" applyBorder="1" applyAlignment="1">
      <alignment vertical="center"/>
    </xf>
    <xf numFmtId="4" fontId="19" fillId="55" borderId="19" xfId="0" applyNumberFormat="1" applyFont="1" applyFill="1" applyBorder="1" applyAlignment="1">
      <alignment vertical="center"/>
    </xf>
    <xf numFmtId="0" fontId="19" fillId="55" borderId="19" xfId="0" applyFont="1" applyFill="1" applyBorder="1" applyAlignment="1">
      <alignment vertical="center"/>
    </xf>
    <xf numFmtId="2" fontId="19" fillId="55" borderId="19" xfId="0" applyNumberFormat="1" applyFont="1" applyFill="1" applyBorder="1" applyAlignment="1">
      <alignment horizontal="right" vertical="center"/>
    </xf>
    <xf numFmtId="10" fontId="19" fillId="55" borderId="19" xfId="89" applyNumberFormat="1" applyFont="1" applyFill="1" applyBorder="1" applyAlignment="1">
      <alignment horizontal="right" vertical="center"/>
    </xf>
    <xf numFmtId="10" fontId="19" fillId="0" borderId="19" xfId="89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10" fontId="19" fillId="0" borderId="0" xfId="89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55" borderId="19" xfId="0" applyFont="1" applyFill="1" applyBorder="1" applyAlignment="1">
      <alignment horizontal="right" vertical="center"/>
    </xf>
    <xf numFmtId="4" fontId="19" fillId="55" borderId="19" xfId="0" applyNumberFormat="1" applyFont="1" applyFill="1" applyBorder="1" applyAlignment="1">
      <alignment horizontal="right" vertical="center"/>
    </xf>
    <xf numFmtId="176" fontId="77" fillId="62" borderId="19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6" fontId="77" fillId="0" borderId="0" xfId="0" applyNumberFormat="1" applyFont="1" applyFill="1" applyBorder="1" applyAlignment="1">
      <alignment vertical="center"/>
    </xf>
    <xf numFmtId="0" fontId="29" fillId="63" borderId="0" xfId="0" applyFont="1" applyFill="1" applyAlignment="1">
      <alignment horizontal="center" vertical="center"/>
    </xf>
    <xf numFmtId="0" fontId="19" fillId="58" borderId="0" xfId="0" applyFont="1" applyFill="1" applyAlignment="1">
      <alignment horizontal="right" vertical="center"/>
    </xf>
    <xf numFmtId="0" fontId="19" fillId="63" borderId="0" xfId="0" applyFont="1" applyFill="1" applyAlignment="1">
      <alignment horizontal="center" vertical="center"/>
    </xf>
    <xf numFmtId="0" fontId="19" fillId="63" borderId="0" xfId="0" applyFont="1" applyFill="1" applyAlignment="1">
      <alignment horizontal="right" vertical="center"/>
    </xf>
    <xf numFmtId="10" fontId="19" fillId="63" borderId="0" xfId="89" applyNumberFormat="1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19" fillId="58" borderId="0" xfId="0" applyFont="1" applyFill="1" applyAlignment="1">
      <alignment horizontal="left" vertical="center"/>
    </xf>
    <xf numFmtId="0" fontId="31" fillId="0" borderId="0" xfId="0" applyFont="1" applyAlignment="1">
      <alignment vertical="center"/>
    </xf>
    <xf numFmtId="189" fontId="70" fillId="0" borderId="0" xfId="93" applyNumberFormat="1" applyFont="1" applyFill="1" applyBorder="1" applyAlignment="1">
      <alignment vertical="center" wrapText="1"/>
    </xf>
    <xf numFmtId="43" fontId="78" fillId="59" borderId="19" xfId="93" applyFont="1" applyFill="1" applyBorder="1" applyAlignment="1">
      <alignment vertical="center" wrapText="1"/>
    </xf>
    <xf numFmtId="43" fontId="78" fillId="0" borderId="0" xfId="93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vertical="center" wrapText="1"/>
    </xf>
    <xf numFmtId="2" fontId="70" fillId="0" borderId="19" xfId="0" applyNumberFormat="1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80" fillId="57" borderId="0" xfId="0" applyFont="1" applyFill="1" applyAlignment="1">
      <alignment horizontal="left" vertical="center" wrapText="1"/>
    </xf>
    <xf numFmtId="0" fontId="70" fillId="0" borderId="19" xfId="0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80" fillId="57" borderId="0" xfId="0" applyFont="1" applyFill="1" applyAlignment="1">
      <alignment horizontal="left" vertical="center" wrapText="1"/>
    </xf>
    <xf numFmtId="10" fontId="19" fillId="0" borderId="0" xfId="89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43" fontId="82" fillId="0" borderId="0" xfId="93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8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vertical="center" wrapText="1"/>
    </xf>
    <xf numFmtId="43" fontId="70" fillId="0" borderId="22" xfId="93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wrapText="1"/>
    </xf>
    <xf numFmtId="0" fontId="70" fillId="0" borderId="19" xfId="0" applyFont="1" applyFill="1" applyBorder="1" applyAlignment="1">
      <alignment wrapText="1"/>
    </xf>
    <xf numFmtId="43" fontId="70" fillId="0" borderId="19" xfId="93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44" fontId="81" fillId="0" borderId="0" xfId="80" applyFont="1" applyFill="1" applyAlignment="1">
      <alignment horizontal="center" vertical="center" wrapText="1"/>
    </xf>
    <xf numFmtId="164" fontId="81" fillId="0" borderId="0" xfId="93" applyNumberFormat="1" applyFont="1" applyFill="1" applyAlignment="1">
      <alignment vertical="center" wrapText="1"/>
    </xf>
    <xf numFmtId="0" fontId="81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33" borderId="0" xfId="0" applyFont="1" applyFill="1" applyAlignment="1" applyProtection="1">
      <alignment vertical="center" wrapText="1"/>
      <protection locked="0"/>
    </xf>
    <xf numFmtId="4" fontId="20" fillId="33" borderId="23" xfId="0" applyNumberFormat="1" applyFont="1" applyFill="1" applyBorder="1" applyAlignment="1" applyProtection="1">
      <alignment vertical="center" wrapText="1"/>
      <protection locked="0"/>
    </xf>
    <xf numFmtId="4" fontId="20" fillId="33" borderId="28" xfId="0" applyNumberFormat="1" applyFont="1" applyFill="1" applyBorder="1" applyAlignment="1" applyProtection="1">
      <alignment vertical="center" wrapText="1"/>
      <protection locked="0"/>
    </xf>
    <xf numFmtId="4" fontId="20" fillId="0" borderId="0" xfId="0" applyNumberFormat="1" applyFont="1" applyAlignment="1" applyProtection="1">
      <alignment vertical="center" wrapText="1"/>
      <protection locked="0"/>
    </xf>
    <xf numFmtId="4" fontId="20" fillId="33" borderId="19" xfId="0" applyNumberFormat="1" applyFont="1" applyFill="1" applyBorder="1" applyAlignment="1" applyProtection="1">
      <alignment vertical="center" wrapText="1"/>
      <protection locked="0"/>
    </xf>
    <xf numFmtId="0" fontId="20" fillId="33" borderId="0" xfId="0" applyFont="1" applyFill="1" applyAlignment="1" applyProtection="1">
      <alignment wrapText="1"/>
      <protection locked="0"/>
    </xf>
    <xf numFmtId="2" fontId="2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80" fillId="57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left" vertical="center" wrapText="1"/>
    </xf>
    <xf numFmtId="0" fontId="20" fillId="0" borderId="24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10" fontId="20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20" fillId="0" borderId="19" xfId="0" applyFont="1" applyBorder="1" applyAlignment="1">
      <alignment horizontal="center" vertical="center"/>
    </xf>
    <xf numFmtId="10" fontId="20" fillId="57" borderId="0" xfId="0" applyNumberFormat="1" applyFont="1" applyFill="1" applyBorder="1" applyAlignment="1">
      <alignment horizontal="right" vertical="center"/>
    </xf>
    <xf numFmtId="0" fontId="20" fillId="0" borderId="19" xfId="0" applyNumberFormat="1" applyFont="1" applyFill="1" applyBorder="1" applyAlignment="1">
      <alignment horizontal="right" vertical="center"/>
    </xf>
    <xf numFmtId="4" fontId="20" fillId="26" borderId="19" xfId="0" applyNumberFormat="1" applyFont="1" applyFill="1" applyBorder="1" applyAlignment="1">
      <alignment horizontal="right" vertical="center"/>
    </xf>
    <xf numFmtId="10" fontId="20" fillId="26" borderId="19" xfId="0" applyNumberFormat="1" applyFont="1" applyFill="1" applyBorder="1" applyAlignment="1">
      <alignment horizontal="right" vertical="center"/>
    </xf>
    <xf numFmtId="9" fontId="20" fillId="26" borderId="19" xfId="0" applyNumberFormat="1" applyFont="1" applyFill="1" applyBorder="1" applyAlignment="1">
      <alignment horizontal="right" vertical="center"/>
    </xf>
    <xf numFmtId="9" fontId="20" fillId="26" borderId="19" xfId="89" applyFont="1" applyFill="1" applyBorder="1" applyAlignment="1">
      <alignment horizontal="right" vertical="center"/>
    </xf>
    <xf numFmtId="0" fontId="20" fillId="26" borderId="21" xfId="0" applyFont="1" applyFill="1" applyBorder="1" applyAlignment="1">
      <alignment horizontal="center" vertical="center" wrapText="1"/>
    </xf>
    <xf numFmtId="0" fontId="72" fillId="26" borderId="19" xfId="0" applyFont="1" applyFill="1" applyBorder="1" applyAlignment="1">
      <alignment horizontal="center" vertical="center" wrapText="1"/>
    </xf>
    <xf numFmtId="0" fontId="72" fillId="57" borderId="0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4" fontId="71" fillId="0" borderId="0" xfId="0" applyNumberFormat="1" applyFont="1" applyAlignment="1">
      <alignment vertical="center"/>
    </xf>
    <xf numFmtId="10" fontId="71" fillId="0" borderId="0" xfId="0" applyNumberFormat="1" applyFont="1" applyAlignment="1">
      <alignment vertical="center"/>
    </xf>
    <xf numFmtId="43" fontId="70" fillId="0" borderId="0" xfId="0" applyNumberFormat="1" applyFont="1" applyFill="1" applyBorder="1" applyAlignment="1">
      <alignment vertical="center" wrapText="1"/>
    </xf>
    <xf numFmtId="0" fontId="81" fillId="0" borderId="0" xfId="0" applyFont="1" applyFill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43" fontId="70" fillId="0" borderId="0" xfId="93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43" fontId="19" fillId="55" borderId="19" xfId="93" applyFont="1" applyFill="1" applyBorder="1" applyAlignment="1">
      <alignment horizontal="center" vertical="center" wrapText="1"/>
    </xf>
    <xf numFmtId="0" fontId="78" fillId="64" borderId="2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43" fontId="82" fillId="0" borderId="0" xfId="93" applyFont="1" applyFill="1" applyBorder="1" applyAlignment="1">
      <alignment horizontal="center" vertical="center" wrapText="1"/>
    </xf>
    <xf numFmtId="43" fontId="19" fillId="55" borderId="21" xfId="93" applyFont="1" applyFill="1" applyBorder="1" applyAlignment="1">
      <alignment horizontal="center" vertical="center" wrapText="1"/>
    </xf>
    <xf numFmtId="43" fontId="19" fillId="55" borderId="31" xfId="93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8" fillId="64" borderId="23" xfId="0" applyFont="1" applyFill="1" applyBorder="1" applyAlignment="1">
      <alignment horizontal="center" vertical="center" wrapText="1"/>
    </xf>
    <xf numFmtId="0" fontId="78" fillId="64" borderId="2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43" fontId="19" fillId="55" borderId="22" xfId="93" applyFont="1" applyFill="1" applyBorder="1" applyAlignment="1">
      <alignment horizontal="center" vertical="center" wrapText="1"/>
    </xf>
    <xf numFmtId="0" fontId="78" fillId="64" borderId="19" xfId="0" applyFont="1" applyFill="1" applyBorder="1" applyAlignment="1">
      <alignment horizontal="center" vertical="center" wrapText="1"/>
    </xf>
    <xf numFmtId="0" fontId="20" fillId="65" borderId="19" xfId="0" applyFont="1" applyFill="1" applyBorder="1" applyAlignment="1">
      <alignment horizontal="left" vertical="center"/>
    </xf>
    <xf numFmtId="0" fontId="20" fillId="65" borderId="23" xfId="0" applyFont="1" applyFill="1" applyBorder="1" applyAlignment="1">
      <alignment horizontal="left" vertical="center"/>
    </xf>
    <xf numFmtId="0" fontId="20" fillId="65" borderId="28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43" fontId="31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6" fillId="57" borderId="0" xfId="0" applyFont="1" applyFill="1" applyAlignment="1">
      <alignment horizontal="center" vertical="center" wrapText="1"/>
    </xf>
    <xf numFmtId="0" fontId="80" fillId="57" borderId="0" xfId="0" applyFont="1" applyFill="1" applyAlignment="1">
      <alignment horizontal="center" vertical="center" wrapText="1"/>
    </xf>
    <xf numFmtId="0" fontId="87" fillId="0" borderId="0" xfId="0" applyFont="1" applyAlignment="1">
      <alignment horizontal="center" wrapText="1"/>
    </xf>
    <xf numFmtId="0" fontId="88" fillId="0" borderId="0" xfId="0" applyFont="1" applyAlignment="1">
      <alignment horizontal="center" vertical="top" wrapText="1"/>
    </xf>
    <xf numFmtId="0" fontId="80" fillId="57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2" fontId="24" fillId="0" borderId="20" xfId="86" applyNumberFormat="1" applyFont="1" applyFill="1" applyBorder="1" applyAlignment="1" applyProtection="1">
      <alignment horizontal="left" vertical="center"/>
      <protection locked="0"/>
    </xf>
    <xf numFmtId="2" fontId="24" fillId="0" borderId="20" xfId="0" applyNumberFormat="1" applyFont="1" applyFill="1" applyBorder="1" applyAlignment="1" applyProtection="1">
      <alignment horizontal="center" vertical="center"/>
      <protection locked="0"/>
    </xf>
    <xf numFmtId="4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right" vertical="center"/>
      <protection locked="0"/>
    </xf>
    <xf numFmtId="0" fontId="23" fillId="0" borderId="33" xfId="0" applyFont="1" applyBorder="1" applyAlignment="1" applyProtection="1">
      <alignment horizontal="right" vertical="center"/>
      <protection locked="0"/>
    </xf>
    <xf numFmtId="4" fontId="23" fillId="0" borderId="32" xfId="0" applyNumberFormat="1" applyFont="1" applyBorder="1" applyAlignment="1" applyProtection="1">
      <alignment vertical="center"/>
      <protection locked="0"/>
    </xf>
    <xf numFmtId="4" fontId="23" fillId="0" borderId="33" xfId="0" applyNumberFormat="1" applyFont="1" applyBorder="1" applyAlignment="1" applyProtection="1">
      <alignment vertical="center"/>
      <protection locked="0"/>
    </xf>
    <xf numFmtId="4" fontId="23" fillId="0" borderId="34" xfId="0" applyNumberFormat="1" applyFont="1" applyBorder="1" applyAlignment="1" applyProtection="1">
      <alignment vertical="center"/>
      <protection locked="0"/>
    </xf>
    <xf numFmtId="4" fontId="23" fillId="0" borderId="35" xfId="0" applyNumberFormat="1" applyFont="1" applyBorder="1" applyAlignment="1" applyProtection="1">
      <alignment vertical="center"/>
      <protection locked="0"/>
    </xf>
    <xf numFmtId="4" fontId="23" fillId="0" borderId="36" xfId="0" applyNumberFormat="1" applyFont="1" applyBorder="1" applyAlignment="1" applyProtection="1">
      <alignment vertical="center"/>
      <protection locked="0"/>
    </xf>
    <xf numFmtId="4" fontId="23" fillId="0" borderId="37" xfId="0" applyNumberFormat="1" applyFont="1" applyBorder="1" applyAlignment="1" applyProtection="1">
      <alignment vertical="center"/>
      <protection locked="0"/>
    </xf>
    <xf numFmtId="4" fontId="23" fillId="0" borderId="38" xfId="0" applyNumberFormat="1" applyFont="1" applyBorder="1" applyAlignment="1" applyProtection="1">
      <alignment vertical="center"/>
      <protection locked="0"/>
    </xf>
    <xf numFmtId="4" fontId="23" fillId="0" borderId="39" xfId="0" applyNumberFormat="1" applyFont="1" applyBorder="1" applyAlignment="1" applyProtection="1">
      <alignment vertical="center"/>
      <protection locked="0"/>
    </xf>
    <xf numFmtId="4" fontId="23" fillId="0" borderId="40" xfId="0" applyNumberFormat="1" applyFont="1" applyBorder="1" applyAlignment="1" applyProtection="1">
      <alignment vertical="center"/>
      <protection locked="0"/>
    </xf>
    <xf numFmtId="4" fontId="20" fillId="0" borderId="41" xfId="0" applyNumberFormat="1" applyFont="1" applyBorder="1" applyAlignment="1" applyProtection="1">
      <alignment vertical="center" wrapText="1"/>
      <protection locked="0"/>
    </xf>
    <xf numFmtId="4" fontId="20" fillId="0" borderId="21" xfId="0" applyNumberFormat="1" applyFont="1" applyBorder="1" applyAlignment="1" applyProtection="1">
      <alignment vertical="center" wrapText="1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4" fontId="20" fillId="0" borderId="41" xfId="0" applyNumberFormat="1" applyFont="1" applyFill="1" applyBorder="1" applyAlignment="1" applyProtection="1">
      <alignment vertical="center" wrapText="1"/>
      <protection locked="0"/>
    </xf>
    <xf numFmtId="43" fontId="20" fillId="0" borderId="41" xfId="93" applyFont="1" applyBorder="1" applyAlignment="1" applyProtection="1">
      <alignment vertical="center" wrapText="1"/>
      <protection locked="0"/>
    </xf>
    <xf numFmtId="0" fontId="89" fillId="0" borderId="3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5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3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center"/>
      <protection locked="0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58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9" fontId="74" fillId="0" borderId="0" xfId="89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76" fillId="59" borderId="19" xfId="0" applyFont="1" applyFill="1" applyBorder="1" applyAlignment="1">
      <alignment horizontal="center" vertical="center"/>
    </xf>
    <xf numFmtId="10" fontId="76" fillId="59" borderId="19" xfId="89" applyNumberFormat="1" applyFont="1" applyFill="1" applyBorder="1" applyAlignment="1">
      <alignment horizontal="center" vertical="center"/>
    </xf>
    <xf numFmtId="0" fontId="19" fillId="63" borderId="0" xfId="0" applyFont="1" applyFill="1" applyAlignment="1">
      <alignment horizontal="right" vertical="center"/>
    </xf>
    <xf numFmtId="43" fontId="19" fillId="0" borderId="19" xfId="93" applyFont="1" applyFill="1" applyBorder="1" applyAlignment="1">
      <alignment horizontal="center" vertical="center" wrapText="1"/>
    </xf>
    <xf numFmtId="43" fontId="19" fillId="0" borderId="23" xfId="93" applyFont="1" applyFill="1" applyBorder="1" applyAlignment="1">
      <alignment horizontal="center" vertical="center" wrapText="1"/>
    </xf>
    <xf numFmtId="43" fontId="19" fillId="0" borderId="58" xfId="93" applyFont="1" applyFill="1" applyBorder="1" applyAlignment="1">
      <alignment horizontal="center" vertical="center" wrapText="1"/>
    </xf>
    <xf numFmtId="43" fontId="19" fillId="0" borderId="28" xfId="93" applyFont="1" applyFill="1" applyBorder="1" applyAlignment="1">
      <alignment horizontal="center" vertical="center" wrapText="1"/>
    </xf>
    <xf numFmtId="43" fontId="19" fillId="0" borderId="0" xfId="93" applyFont="1" applyFill="1" applyBorder="1" applyAlignment="1">
      <alignment horizontal="center" vertical="center" wrapText="1"/>
    </xf>
    <xf numFmtId="43" fontId="19" fillId="0" borderId="20" xfId="93" applyFont="1" applyFill="1" applyBorder="1" applyAlignment="1">
      <alignment horizontal="center" vertical="center" wrapText="1"/>
    </xf>
    <xf numFmtId="43" fontId="19" fillId="0" borderId="47" xfId="93" applyFont="1" applyFill="1" applyBorder="1" applyAlignment="1">
      <alignment horizontal="center" vertical="center" wrapText="1"/>
    </xf>
    <xf numFmtId="43" fontId="19" fillId="0" borderId="24" xfId="93" applyFont="1" applyFill="1" applyBorder="1" applyAlignment="1">
      <alignment horizontal="center" vertical="center" wrapText="1"/>
    </xf>
    <xf numFmtId="43" fontId="19" fillId="0" borderId="48" xfId="93" applyFont="1" applyFill="1" applyBorder="1" applyAlignment="1">
      <alignment horizontal="center" vertical="center" wrapText="1"/>
    </xf>
    <xf numFmtId="43" fontId="70" fillId="0" borderId="19" xfId="93" applyFont="1" applyFill="1" applyBorder="1" applyAlignment="1">
      <alignment horizontal="center" vertical="center" wrapText="1"/>
    </xf>
    <xf numFmtId="43" fontId="70" fillId="0" borderId="23" xfId="93" applyFont="1" applyFill="1" applyBorder="1" applyAlignment="1">
      <alignment horizontal="center" vertical="center" wrapText="1"/>
    </xf>
    <xf numFmtId="43" fontId="70" fillId="0" borderId="58" xfId="93" applyFont="1" applyFill="1" applyBorder="1" applyAlignment="1">
      <alignment horizontal="center" vertical="center" wrapText="1"/>
    </xf>
    <xf numFmtId="43" fontId="70" fillId="0" borderId="28" xfId="93" applyFont="1" applyFill="1" applyBorder="1" applyAlignment="1">
      <alignment horizontal="center" vertical="center" wrapText="1"/>
    </xf>
    <xf numFmtId="43" fontId="70" fillId="0" borderId="0" xfId="0" applyNumberFormat="1" applyFont="1" applyFill="1" applyBorder="1" applyAlignment="1">
      <alignment horizontal="left" vertical="center" wrapText="1"/>
    </xf>
    <xf numFmtId="0" fontId="78" fillId="64" borderId="5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3" fontId="81" fillId="0" borderId="58" xfId="93" applyFont="1" applyFill="1" applyBorder="1" applyAlignment="1">
      <alignment horizontal="center" vertical="center" wrapText="1"/>
    </xf>
    <xf numFmtId="43" fontId="81" fillId="0" borderId="28" xfId="93" applyFont="1" applyFill="1" applyBorder="1" applyAlignment="1">
      <alignment horizontal="center" vertical="center" wrapText="1"/>
    </xf>
    <xf numFmtId="43" fontId="81" fillId="0" borderId="19" xfId="93" applyFont="1" applyFill="1" applyBorder="1" applyAlignment="1">
      <alignment horizontal="center" vertical="center" wrapText="1"/>
    </xf>
    <xf numFmtId="2" fontId="70" fillId="0" borderId="19" xfId="0" applyNumberFormat="1" applyFont="1" applyFill="1" applyBorder="1" applyAlignment="1">
      <alignment horizontal="center" vertical="center" wrapText="1"/>
    </xf>
    <xf numFmtId="0" fontId="72" fillId="57" borderId="23" xfId="0" applyFont="1" applyFill="1" applyBorder="1" applyAlignment="1">
      <alignment horizontal="center" vertical="center" wrapText="1"/>
    </xf>
    <xf numFmtId="0" fontId="72" fillId="57" borderId="58" xfId="0" applyFont="1" applyFill="1" applyBorder="1" applyAlignment="1">
      <alignment horizontal="center" vertical="center" wrapText="1"/>
    </xf>
    <xf numFmtId="0" fontId="72" fillId="57" borderId="28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right" vertical="center"/>
    </xf>
  </cellXfs>
  <cellStyles count="10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 Built-in Comma" xfId="73"/>
    <cellStyle name="Excel Built-in Currency" xfId="74"/>
    <cellStyle name="Excel Built-in Normal" xfId="75"/>
    <cellStyle name="Hyperlink" xfId="76"/>
    <cellStyle name="Followed Hyperlink" xfId="77"/>
    <cellStyle name="Incorreto" xfId="78"/>
    <cellStyle name="Incorreto 2" xfId="79"/>
    <cellStyle name="Currency" xfId="80"/>
    <cellStyle name="Currency [0]" xfId="81"/>
    <cellStyle name="Neutra" xfId="82"/>
    <cellStyle name="Neutra 2" xfId="83"/>
    <cellStyle name="Normal 2" xfId="84"/>
    <cellStyle name="Normal 3" xfId="85"/>
    <cellStyle name="Normal_Plan1" xfId="86"/>
    <cellStyle name="Nota" xfId="87"/>
    <cellStyle name="Nota 2" xfId="88"/>
    <cellStyle name="Percent" xfId="89"/>
    <cellStyle name="Porcentagem 2" xfId="90"/>
    <cellStyle name="Saída" xfId="91"/>
    <cellStyle name="Saída 2" xfId="92"/>
    <cellStyle name="Comma" xfId="93"/>
    <cellStyle name="Comma [0]" xfId="94"/>
    <cellStyle name="Texto de Aviso" xfId="95"/>
    <cellStyle name="Texto de Aviso 2" xfId="96"/>
    <cellStyle name="Texto Explicativo" xfId="97"/>
    <cellStyle name="Texto Explicativo 2" xfId="98"/>
    <cellStyle name="Título" xfId="99"/>
    <cellStyle name="Título 1" xfId="100"/>
    <cellStyle name="Título 1 1" xfId="101"/>
    <cellStyle name="Título 1 1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ítulo 4 2" xfId="109"/>
    <cellStyle name="Título 5" xfId="110"/>
    <cellStyle name="Total" xfId="111"/>
    <cellStyle name="Total 2" xfId="112"/>
    <cellStyle name="Vírgula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0</xdr:row>
      <xdr:rowOff>38100</xdr:rowOff>
    </xdr:from>
    <xdr:to>
      <xdr:col>3</xdr:col>
      <xdr:colOff>4267200</xdr:colOff>
      <xdr:row>0</xdr:row>
      <xdr:rowOff>1295400</xdr:rowOff>
    </xdr:to>
    <xdr:pic>
      <xdr:nvPicPr>
        <xdr:cNvPr id="1" name="Picture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3381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0</xdr:row>
      <xdr:rowOff>38100</xdr:rowOff>
    </xdr:from>
    <xdr:to>
      <xdr:col>5</xdr:col>
      <xdr:colOff>190500</xdr:colOff>
      <xdr:row>6</xdr:row>
      <xdr:rowOff>104775</xdr:rowOff>
    </xdr:to>
    <xdr:pic>
      <xdr:nvPicPr>
        <xdr:cNvPr id="1" name="Picture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8100"/>
          <a:ext cx="3238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0</xdr:row>
      <xdr:rowOff>0</xdr:rowOff>
    </xdr:from>
    <xdr:to>
      <xdr:col>5</xdr:col>
      <xdr:colOff>428625</xdr:colOff>
      <xdr:row>1</xdr:row>
      <xdr:rowOff>9525</xdr:rowOff>
    </xdr:to>
    <xdr:pic>
      <xdr:nvPicPr>
        <xdr:cNvPr id="1" name="Picture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695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0</xdr:rowOff>
    </xdr:from>
    <xdr:to>
      <xdr:col>3</xdr:col>
      <xdr:colOff>4352925</xdr:colOff>
      <xdr:row>0</xdr:row>
      <xdr:rowOff>1181100</xdr:rowOff>
    </xdr:to>
    <xdr:pic>
      <xdr:nvPicPr>
        <xdr:cNvPr id="1" name="Picture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3914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0</xdr:row>
      <xdr:rowOff>38100</xdr:rowOff>
    </xdr:from>
    <xdr:to>
      <xdr:col>5</xdr:col>
      <xdr:colOff>190500</xdr:colOff>
      <xdr:row>6</xdr:row>
      <xdr:rowOff>104775</xdr:rowOff>
    </xdr:to>
    <xdr:pic>
      <xdr:nvPicPr>
        <xdr:cNvPr id="1" name="Picture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8100"/>
          <a:ext cx="3238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view="pageBreakPreview" zoomScaleSheetLayoutView="100" zoomScalePageLayoutView="0" workbookViewId="0" topLeftCell="A16">
      <selection activeCell="F190" sqref="F190"/>
    </sheetView>
  </sheetViews>
  <sheetFormatPr defaultColWidth="9.140625" defaultRowHeight="15"/>
  <cols>
    <col min="1" max="1" width="16.140625" style="3" customWidth="1"/>
    <col min="2" max="2" width="21.8515625" style="38" customWidth="1"/>
    <col min="3" max="3" width="12.57421875" style="3" customWidth="1"/>
    <col min="4" max="4" width="69.28125" style="3" customWidth="1"/>
    <col min="5" max="5" width="6.140625" style="3" bestFit="1" customWidth="1"/>
    <col min="6" max="6" width="23.140625" style="9" customWidth="1"/>
    <col min="7" max="7" width="0.9921875" style="9" customWidth="1"/>
    <col min="8" max="8" width="14.8515625" style="9" customWidth="1"/>
    <col min="9" max="9" width="0.9921875" style="9" customWidth="1"/>
    <col min="10" max="10" width="19.00390625" style="9" customWidth="1"/>
    <col min="11" max="11" width="1.421875" style="3" customWidth="1"/>
    <col min="12" max="16384" width="9.140625" style="3" customWidth="1"/>
  </cols>
  <sheetData>
    <row r="1" spans="6:10" ht="104.25" customHeight="1">
      <c r="F1" s="3"/>
      <c r="G1" s="3"/>
      <c r="H1" s="3"/>
      <c r="I1" s="3"/>
      <c r="J1" s="3"/>
    </row>
    <row r="2" spans="1:10" ht="12.75">
      <c r="A2" s="273" t="s">
        <v>109</v>
      </c>
      <c r="B2" s="273"/>
      <c r="C2" s="273"/>
      <c r="D2" s="273"/>
      <c r="F2" s="3"/>
      <c r="G2" s="3"/>
      <c r="H2" s="3"/>
      <c r="I2" s="3"/>
      <c r="J2" s="3"/>
    </row>
    <row r="3" spans="1:10" ht="12.75">
      <c r="A3" s="273" t="s">
        <v>110</v>
      </c>
      <c r="B3" s="273"/>
      <c r="C3" s="279"/>
      <c r="D3" s="279"/>
      <c r="F3" s="3"/>
      <c r="G3" s="3"/>
      <c r="H3" s="3"/>
      <c r="I3" s="3"/>
      <c r="J3" s="3"/>
    </row>
    <row r="4" spans="1:10" ht="12.75">
      <c r="A4" s="274" t="s">
        <v>204</v>
      </c>
      <c r="B4" s="274"/>
      <c r="C4" s="274"/>
      <c r="D4" s="274"/>
      <c r="F4" s="3"/>
      <c r="G4" s="3"/>
      <c r="H4" s="3"/>
      <c r="I4" s="3"/>
      <c r="J4" s="3"/>
    </row>
    <row r="5" spans="1:10" ht="23.25" customHeight="1" hidden="1">
      <c r="A5" s="274" t="s">
        <v>9</v>
      </c>
      <c r="B5" s="274"/>
      <c r="C5" s="274"/>
      <c r="D5" s="274"/>
      <c r="E5" s="275" t="s">
        <v>8</v>
      </c>
      <c r="F5" s="275"/>
      <c r="G5" s="275"/>
      <c r="H5" s="275"/>
      <c r="I5" s="275"/>
      <c r="J5" s="275"/>
    </row>
    <row r="6" spans="1:10" ht="23.25" customHeight="1" hidden="1">
      <c r="A6" s="276" t="s">
        <v>13</v>
      </c>
      <c r="B6" s="276"/>
      <c r="C6" s="276"/>
      <c r="D6" s="276"/>
      <c r="E6" s="283"/>
      <c r="F6" s="283"/>
      <c r="G6" s="283"/>
      <c r="H6" s="283"/>
      <c r="I6" s="283"/>
      <c r="J6" s="283"/>
    </row>
    <row r="7" spans="1:10" ht="12.75">
      <c r="A7" s="185" t="s">
        <v>107</v>
      </c>
      <c r="B7" s="190" t="s">
        <v>108</v>
      </c>
      <c r="C7" s="185"/>
      <c r="D7" s="185"/>
      <c r="E7" s="283"/>
      <c r="F7" s="283"/>
      <c r="G7" s="283"/>
      <c r="H7" s="283"/>
      <c r="I7" s="283"/>
      <c r="J7" s="283"/>
    </row>
    <row r="8" spans="1:10" ht="12.75">
      <c r="A8" s="276" t="s">
        <v>168</v>
      </c>
      <c r="B8" s="276"/>
      <c r="C8" s="276"/>
      <c r="D8" s="276"/>
      <c r="E8" s="283"/>
      <c r="F8" s="283"/>
      <c r="G8" s="283"/>
      <c r="H8" s="283"/>
      <c r="I8" s="283"/>
      <c r="J8" s="283"/>
    </row>
    <row r="9" spans="1:11" ht="21" customHeight="1">
      <c r="A9" s="286" t="s">
        <v>214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</row>
    <row r="10" spans="1:10" ht="18" customHeight="1">
      <c r="A10" s="284" t="s">
        <v>159</v>
      </c>
      <c r="B10" s="285"/>
      <c r="C10" s="37"/>
      <c r="D10" s="37"/>
      <c r="E10" s="36"/>
      <c r="F10" s="36"/>
      <c r="G10" s="36"/>
      <c r="H10" s="36"/>
      <c r="I10" s="36"/>
      <c r="J10" s="36"/>
    </row>
    <row r="11" spans="1:10" ht="18" customHeight="1">
      <c r="A11" s="224"/>
      <c r="B11" s="225"/>
      <c r="C11" s="37"/>
      <c r="D11" s="37"/>
      <c r="E11" s="36"/>
      <c r="F11" s="36"/>
      <c r="G11" s="222"/>
      <c r="H11" s="222"/>
      <c r="I11" s="222"/>
      <c r="J11" s="36"/>
    </row>
    <row r="12" spans="1:14" ht="15" customHeight="1">
      <c r="A12" s="30">
        <v>1</v>
      </c>
      <c r="B12" s="203"/>
      <c r="C12" s="203"/>
      <c r="D12" s="29" t="s">
        <v>156</v>
      </c>
      <c r="E12" s="203"/>
      <c r="F12" s="13" t="s">
        <v>3</v>
      </c>
      <c r="G12" s="7"/>
      <c r="H12" s="281" t="s">
        <v>4</v>
      </c>
      <c r="I12" s="5"/>
      <c r="J12" s="277" t="s">
        <v>5</v>
      </c>
      <c r="L12" s="8"/>
      <c r="M12" s="8"/>
      <c r="N12" s="188"/>
    </row>
    <row r="13" spans="1:14" ht="15" customHeight="1">
      <c r="A13" s="203"/>
      <c r="B13" s="203"/>
      <c r="C13" s="203"/>
      <c r="D13" s="1"/>
      <c r="E13" s="203"/>
      <c r="F13" s="223"/>
      <c r="G13" s="7"/>
      <c r="H13" s="288"/>
      <c r="I13" s="5"/>
      <c r="J13" s="277"/>
      <c r="L13" s="8"/>
      <c r="M13" s="8"/>
      <c r="N13" s="188"/>
    </row>
    <row r="14" spans="1:14" ht="25.5">
      <c r="A14" s="203">
        <f>A12+0.01</f>
        <v>1.01</v>
      </c>
      <c r="B14" s="203" t="s">
        <v>198</v>
      </c>
      <c r="C14" s="203">
        <v>21301</v>
      </c>
      <c r="D14" s="1" t="s">
        <v>219</v>
      </c>
      <c r="E14" s="203" t="s">
        <v>10</v>
      </c>
      <c r="F14" s="223">
        <v>10</v>
      </c>
      <c r="G14" s="7"/>
      <c r="H14" s="189">
        <v>145.93</v>
      </c>
      <c r="I14" s="5"/>
      <c r="J14" s="11">
        <f>H14*F14</f>
        <v>1459.3000000000002</v>
      </c>
      <c r="L14" s="8"/>
      <c r="M14" s="8"/>
      <c r="N14" s="188">
        <v>561.9960000000001</v>
      </c>
    </row>
    <row r="15" spans="1:14" ht="18" customHeight="1">
      <c r="A15" s="221"/>
      <c r="B15" s="221"/>
      <c r="C15" s="221"/>
      <c r="E15" s="221"/>
      <c r="F15" s="7"/>
      <c r="G15" s="7"/>
      <c r="H15" s="12" t="s">
        <v>12</v>
      </c>
      <c r="I15" s="7"/>
      <c r="J15" s="12">
        <f>SUM(J4:J14)</f>
        <v>1459.3000000000002</v>
      </c>
      <c r="L15" s="8"/>
      <c r="M15" s="8"/>
      <c r="N15" s="188"/>
    </row>
    <row r="16" spans="1:14" ht="15" customHeight="1">
      <c r="A16" s="221"/>
      <c r="B16" s="221"/>
      <c r="C16" s="221"/>
      <c r="E16" s="221"/>
      <c r="F16" s="7"/>
      <c r="G16" s="7"/>
      <c r="H16" s="5"/>
      <c r="I16" s="5"/>
      <c r="J16" s="5"/>
      <c r="L16" s="8"/>
      <c r="M16" s="8"/>
      <c r="N16" s="188"/>
    </row>
    <row r="17" spans="1:14" ht="15" customHeight="1">
      <c r="A17" s="30">
        <v>2</v>
      </c>
      <c r="B17" s="203"/>
      <c r="C17" s="203"/>
      <c r="D17" s="29" t="s">
        <v>14</v>
      </c>
      <c r="E17" s="203"/>
      <c r="F17" s="13" t="s">
        <v>3</v>
      </c>
      <c r="G17" s="7"/>
      <c r="H17" s="277" t="s">
        <v>4</v>
      </c>
      <c r="I17" s="5"/>
      <c r="J17" s="277" t="s">
        <v>5</v>
      </c>
      <c r="L17" s="8"/>
      <c r="M17" s="8"/>
      <c r="N17" s="188"/>
    </row>
    <row r="18" spans="1:14" ht="15" customHeight="1">
      <c r="A18" s="226"/>
      <c r="B18" s="226"/>
      <c r="C18" s="226"/>
      <c r="D18" s="227"/>
      <c r="E18" s="226"/>
      <c r="F18" s="228"/>
      <c r="G18" s="7"/>
      <c r="H18" s="277"/>
      <c r="I18" s="5"/>
      <c r="J18" s="277"/>
      <c r="L18" s="8"/>
      <c r="M18" s="8"/>
      <c r="N18" s="188"/>
    </row>
    <row r="19" spans="1:14" ht="29.25" customHeight="1">
      <c r="A19" s="203">
        <f>A17+0.01</f>
        <v>2.01</v>
      </c>
      <c r="B19" s="203" t="s">
        <v>26</v>
      </c>
      <c r="C19" s="203">
        <v>9540</v>
      </c>
      <c r="D19" s="233" t="s">
        <v>167</v>
      </c>
      <c r="E19" s="203" t="s">
        <v>11</v>
      </c>
      <c r="F19" s="231">
        <v>1</v>
      </c>
      <c r="G19" s="7"/>
      <c r="H19" s="189">
        <v>788.36</v>
      </c>
      <c r="I19" s="5"/>
      <c r="J19" s="11">
        <f>H19*F19</f>
        <v>788.36</v>
      </c>
      <c r="L19" s="8"/>
      <c r="M19" s="8"/>
      <c r="N19" s="188"/>
    </row>
    <row r="20" spans="1:14" ht="25.5">
      <c r="A20" s="203">
        <f>A17+0.02</f>
        <v>2.02</v>
      </c>
      <c r="B20" s="203" t="s">
        <v>26</v>
      </c>
      <c r="C20" s="203" t="s">
        <v>123</v>
      </c>
      <c r="D20" s="232" t="s">
        <v>163</v>
      </c>
      <c r="E20" s="203" t="s">
        <v>11</v>
      </c>
      <c r="F20" s="229">
        <v>3</v>
      </c>
      <c r="G20" s="7"/>
      <c r="H20" s="189">
        <v>11.8</v>
      </c>
      <c r="I20" s="5"/>
      <c r="J20" s="11">
        <f>H20*F20</f>
        <v>35.400000000000006</v>
      </c>
      <c r="L20" s="8"/>
      <c r="M20" s="8"/>
      <c r="N20" s="188"/>
    </row>
    <row r="21" spans="1:14" ht="25.5">
      <c r="A21" s="203">
        <f>A20+0.01</f>
        <v>2.03</v>
      </c>
      <c r="B21" s="203" t="s">
        <v>26</v>
      </c>
      <c r="C21" s="203" t="s">
        <v>161</v>
      </c>
      <c r="D21" s="232" t="s">
        <v>162</v>
      </c>
      <c r="E21" s="203" t="s">
        <v>11</v>
      </c>
      <c r="F21" s="229">
        <v>1</v>
      </c>
      <c r="G21" s="7"/>
      <c r="H21" s="189">
        <v>18.51</v>
      </c>
      <c r="I21" s="5"/>
      <c r="J21" s="11">
        <f aca="true" t="shared" si="0" ref="J21:J38">H21*F21</f>
        <v>18.51</v>
      </c>
      <c r="L21" s="8"/>
      <c r="M21" s="8"/>
      <c r="N21" s="188"/>
    </row>
    <row r="22" spans="1:14" ht="31.5" customHeight="1">
      <c r="A22" s="203">
        <f>A21+0.01</f>
        <v>2.0399999999999996</v>
      </c>
      <c r="B22" s="203" t="s">
        <v>26</v>
      </c>
      <c r="C22" s="203">
        <v>84402</v>
      </c>
      <c r="D22" s="232" t="s">
        <v>189</v>
      </c>
      <c r="E22" s="203" t="s">
        <v>11</v>
      </c>
      <c r="F22" s="229">
        <v>1</v>
      </c>
      <c r="G22" s="7"/>
      <c r="H22" s="189">
        <v>43.95</v>
      </c>
      <c r="I22" s="5"/>
      <c r="J22" s="11">
        <f t="shared" si="0"/>
        <v>43.95</v>
      </c>
      <c r="L22" s="8"/>
      <c r="M22" s="8"/>
      <c r="N22" s="188"/>
    </row>
    <row r="23" spans="1:14" ht="12.75">
      <c r="A23" s="203">
        <f aca="true" t="shared" si="1" ref="A23:A38">A22+0.01</f>
        <v>2.0499999999999994</v>
      </c>
      <c r="B23" s="203" t="s">
        <v>26</v>
      </c>
      <c r="C23" s="203">
        <v>68069</v>
      </c>
      <c r="D23" s="1" t="s">
        <v>124</v>
      </c>
      <c r="E23" s="203" t="s">
        <v>11</v>
      </c>
      <c r="F23" s="229">
        <v>3</v>
      </c>
      <c r="G23" s="7"/>
      <c r="H23" s="189">
        <v>43.06</v>
      </c>
      <c r="I23" s="5"/>
      <c r="J23" s="11">
        <f t="shared" si="0"/>
        <v>129.18</v>
      </c>
      <c r="L23" s="8"/>
      <c r="M23" s="8"/>
      <c r="N23" s="188"/>
    </row>
    <row r="24" spans="1:14" ht="41.25" customHeight="1">
      <c r="A24" s="203">
        <f t="shared" si="1"/>
        <v>2.059999999999999</v>
      </c>
      <c r="B24" s="203" t="s">
        <v>26</v>
      </c>
      <c r="C24" s="203" t="s">
        <v>149</v>
      </c>
      <c r="D24" s="232" t="s">
        <v>150</v>
      </c>
      <c r="E24" s="203" t="s">
        <v>11</v>
      </c>
      <c r="F24" s="229">
        <v>6</v>
      </c>
      <c r="G24" s="7"/>
      <c r="H24" s="189">
        <v>101.16</v>
      </c>
      <c r="I24" s="5"/>
      <c r="J24" s="11">
        <f t="shared" si="0"/>
        <v>606.96</v>
      </c>
      <c r="L24" s="8"/>
      <c r="M24" s="8"/>
      <c r="N24" s="188"/>
    </row>
    <row r="25" spans="1:14" ht="12.75">
      <c r="A25" s="203">
        <f t="shared" si="1"/>
        <v>2.069999999999999</v>
      </c>
      <c r="B25" s="203" t="s">
        <v>26</v>
      </c>
      <c r="C25" s="203" t="s">
        <v>105</v>
      </c>
      <c r="D25" s="1" t="s">
        <v>106</v>
      </c>
      <c r="E25" s="203" t="s">
        <v>11</v>
      </c>
      <c r="F25" s="229">
        <v>6</v>
      </c>
      <c r="G25" s="7"/>
      <c r="H25" s="189">
        <v>46.01</v>
      </c>
      <c r="I25" s="5"/>
      <c r="J25" s="11">
        <f t="shared" si="0"/>
        <v>276.06</v>
      </c>
      <c r="L25" s="8"/>
      <c r="M25" s="8"/>
      <c r="N25" s="188"/>
    </row>
    <row r="26" spans="1:14" ht="25.5">
      <c r="A26" s="203">
        <f t="shared" si="1"/>
        <v>2.0799999999999987</v>
      </c>
      <c r="B26" s="203" t="s">
        <v>26</v>
      </c>
      <c r="C26" s="203" t="s">
        <v>121</v>
      </c>
      <c r="D26" s="1" t="s">
        <v>122</v>
      </c>
      <c r="E26" s="203" t="s">
        <v>11</v>
      </c>
      <c r="F26" s="229">
        <v>3</v>
      </c>
      <c r="G26" s="7"/>
      <c r="H26" s="189">
        <v>530.9</v>
      </c>
      <c r="I26" s="5"/>
      <c r="J26" s="11">
        <f t="shared" si="0"/>
        <v>1592.6999999999998</v>
      </c>
      <c r="L26" s="8"/>
      <c r="M26" s="8"/>
      <c r="N26" s="188"/>
    </row>
    <row r="27" spans="1:14" ht="12.75">
      <c r="A27" s="203">
        <f t="shared" si="1"/>
        <v>2.0899999999999985</v>
      </c>
      <c r="B27" s="203" t="s">
        <v>26</v>
      </c>
      <c r="C27" s="203">
        <v>83447</v>
      </c>
      <c r="D27" s="1" t="s">
        <v>104</v>
      </c>
      <c r="E27" s="203" t="s">
        <v>11</v>
      </c>
      <c r="F27" s="229">
        <v>4</v>
      </c>
      <c r="G27" s="7"/>
      <c r="H27" s="189">
        <v>130.96</v>
      </c>
      <c r="I27" s="5"/>
      <c r="J27" s="11">
        <f t="shared" si="0"/>
        <v>523.84</v>
      </c>
      <c r="L27" s="8"/>
      <c r="M27" s="8"/>
      <c r="N27" s="188"/>
    </row>
    <row r="28" spans="1:14" ht="12.75">
      <c r="A28" s="203">
        <f t="shared" si="1"/>
        <v>2.0999999999999983</v>
      </c>
      <c r="B28" s="203" t="s">
        <v>26</v>
      </c>
      <c r="C28" s="203">
        <v>72250</v>
      </c>
      <c r="D28" s="232" t="s">
        <v>190</v>
      </c>
      <c r="E28" s="203" t="s">
        <v>0</v>
      </c>
      <c r="F28" s="229">
        <v>10</v>
      </c>
      <c r="G28" s="7"/>
      <c r="H28" s="189">
        <v>6.62</v>
      </c>
      <c r="I28" s="5"/>
      <c r="J28" s="11">
        <f t="shared" si="0"/>
        <v>66.2</v>
      </c>
      <c r="L28" s="8"/>
      <c r="M28" s="8"/>
      <c r="N28" s="188"/>
    </row>
    <row r="29" spans="1:14" ht="25.5">
      <c r="A29" s="203">
        <f t="shared" si="1"/>
        <v>2.109999999999998</v>
      </c>
      <c r="B29" s="203" t="s">
        <v>26</v>
      </c>
      <c r="C29" s="203">
        <v>91856</v>
      </c>
      <c r="D29" s="232" t="s">
        <v>191</v>
      </c>
      <c r="E29" s="203" t="s">
        <v>0</v>
      </c>
      <c r="F29" s="229">
        <v>70</v>
      </c>
      <c r="G29" s="7"/>
      <c r="H29" s="189">
        <v>6.94</v>
      </c>
      <c r="I29" s="5"/>
      <c r="J29" s="11">
        <f t="shared" si="0"/>
        <v>485.8</v>
      </c>
      <c r="L29" s="8"/>
      <c r="M29" s="8"/>
      <c r="N29" s="188"/>
    </row>
    <row r="30" spans="1:14" ht="25.5">
      <c r="A30" s="203">
        <f t="shared" si="1"/>
        <v>2.119999999999998</v>
      </c>
      <c r="B30" s="203" t="s">
        <v>26</v>
      </c>
      <c r="C30" s="203">
        <v>91872</v>
      </c>
      <c r="D30" s="232" t="s">
        <v>192</v>
      </c>
      <c r="E30" s="203" t="s">
        <v>0</v>
      </c>
      <c r="F30" s="229">
        <v>18</v>
      </c>
      <c r="G30" s="7"/>
      <c r="H30" s="189">
        <v>8.42</v>
      </c>
      <c r="I30" s="5"/>
      <c r="J30" s="11">
        <f t="shared" si="0"/>
        <v>151.56</v>
      </c>
      <c r="L30" s="8"/>
      <c r="M30" s="8"/>
      <c r="N30" s="188"/>
    </row>
    <row r="31" spans="1:14" ht="32.25" customHeight="1">
      <c r="A31" s="203">
        <f t="shared" si="1"/>
        <v>2.1299999999999977</v>
      </c>
      <c r="B31" s="203" t="s">
        <v>26</v>
      </c>
      <c r="C31" s="203">
        <v>91885</v>
      </c>
      <c r="D31" s="232" t="s">
        <v>193</v>
      </c>
      <c r="E31" s="203" t="s">
        <v>11</v>
      </c>
      <c r="F31" s="229">
        <v>10</v>
      </c>
      <c r="G31" s="7"/>
      <c r="H31" s="189">
        <v>6.36</v>
      </c>
      <c r="I31" s="5"/>
      <c r="J31" s="11">
        <f t="shared" si="0"/>
        <v>63.6</v>
      </c>
      <c r="L31" s="8"/>
      <c r="M31" s="8"/>
      <c r="N31" s="188"/>
    </row>
    <row r="32" spans="1:14" ht="25.5">
      <c r="A32" s="203">
        <f t="shared" si="1"/>
        <v>2.1399999999999975</v>
      </c>
      <c r="B32" s="203" t="s">
        <v>26</v>
      </c>
      <c r="C32" s="203">
        <v>91893</v>
      </c>
      <c r="D32" s="232" t="s">
        <v>166</v>
      </c>
      <c r="E32" s="203" t="s">
        <v>11</v>
      </c>
      <c r="F32" s="229">
        <v>4</v>
      </c>
      <c r="G32" s="7"/>
      <c r="H32" s="189">
        <v>8.39</v>
      </c>
      <c r="I32" s="5"/>
      <c r="J32" s="11">
        <f t="shared" si="0"/>
        <v>33.56</v>
      </c>
      <c r="L32" s="8"/>
      <c r="M32" s="8"/>
      <c r="N32" s="188"/>
    </row>
    <row r="33" spans="1:14" ht="12.75">
      <c r="A33" s="203">
        <f>A32+0.01</f>
        <v>2.1499999999999972</v>
      </c>
      <c r="B33" s="203" t="s">
        <v>26</v>
      </c>
      <c r="C33" s="203">
        <v>83399</v>
      </c>
      <c r="D33" s="232" t="s">
        <v>160</v>
      </c>
      <c r="E33" s="203" t="s">
        <v>11</v>
      </c>
      <c r="F33" s="229">
        <v>3</v>
      </c>
      <c r="G33" s="7"/>
      <c r="H33" s="189">
        <v>34.54</v>
      </c>
      <c r="I33" s="5"/>
      <c r="J33" s="11">
        <f t="shared" si="0"/>
        <v>103.62</v>
      </c>
      <c r="L33" s="8"/>
      <c r="M33" s="8"/>
      <c r="N33" s="188"/>
    </row>
    <row r="34" spans="1:14" ht="25.5">
      <c r="A34" s="203">
        <f t="shared" si="1"/>
        <v>2.159999999999997</v>
      </c>
      <c r="B34" s="203" t="s">
        <v>26</v>
      </c>
      <c r="C34" s="203">
        <v>91929</v>
      </c>
      <c r="D34" s="232" t="s">
        <v>194</v>
      </c>
      <c r="E34" s="203" t="s">
        <v>0</v>
      </c>
      <c r="F34" s="229">
        <v>129</v>
      </c>
      <c r="G34" s="7"/>
      <c r="H34" s="189">
        <v>4.9</v>
      </c>
      <c r="I34" s="5"/>
      <c r="J34" s="11">
        <f t="shared" si="0"/>
        <v>632.1</v>
      </c>
      <c r="L34" s="8"/>
      <c r="M34" s="8"/>
      <c r="N34" s="188"/>
    </row>
    <row r="35" spans="1:14" ht="25.5">
      <c r="A35" s="203">
        <f t="shared" si="1"/>
        <v>2.169999999999997</v>
      </c>
      <c r="B35" s="203" t="s">
        <v>26</v>
      </c>
      <c r="C35" s="203">
        <v>91929</v>
      </c>
      <c r="D35" s="232" t="s">
        <v>195</v>
      </c>
      <c r="E35" s="203" t="s">
        <v>0</v>
      </c>
      <c r="F35" s="229">
        <v>129</v>
      </c>
      <c r="G35" s="7"/>
      <c r="H35" s="189">
        <v>4.9</v>
      </c>
      <c r="I35" s="5"/>
      <c r="J35" s="11">
        <f t="shared" si="0"/>
        <v>632.1</v>
      </c>
      <c r="L35" s="8"/>
      <c r="M35" s="8"/>
      <c r="N35" s="188"/>
    </row>
    <row r="36" spans="1:14" ht="25.5">
      <c r="A36" s="203">
        <f t="shared" si="1"/>
        <v>2.1799999999999966</v>
      </c>
      <c r="B36" s="203" t="s">
        <v>26</v>
      </c>
      <c r="C36" s="203">
        <v>91929</v>
      </c>
      <c r="D36" s="232" t="s">
        <v>196</v>
      </c>
      <c r="E36" s="203" t="s">
        <v>0</v>
      </c>
      <c r="F36" s="229">
        <v>95</v>
      </c>
      <c r="G36" s="7"/>
      <c r="H36" s="189">
        <v>4.9</v>
      </c>
      <c r="I36" s="5"/>
      <c r="J36" s="11">
        <f t="shared" si="0"/>
        <v>465.50000000000006</v>
      </c>
      <c r="L36" s="8"/>
      <c r="M36" s="8"/>
      <c r="N36" s="188"/>
    </row>
    <row r="37" spans="1:14" ht="25.5">
      <c r="A37" s="203">
        <f t="shared" si="1"/>
        <v>2.1899999999999964</v>
      </c>
      <c r="B37" s="203" t="s">
        <v>26</v>
      </c>
      <c r="C37" s="203">
        <v>72271</v>
      </c>
      <c r="D37" s="232" t="s">
        <v>165</v>
      </c>
      <c r="E37" s="203" t="s">
        <v>11</v>
      </c>
      <c r="F37" s="229">
        <v>4</v>
      </c>
      <c r="G37" s="7"/>
      <c r="H37" s="189">
        <v>8.91</v>
      </c>
      <c r="I37" s="5"/>
      <c r="J37" s="11">
        <f t="shared" si="0"/>
        <v>35.64</v>
      </c>
      <c r="L37" s="8"/>
      <c r="M37" s="8"/>
      <c r="N37" s="188"/>
    </row>
    <row r="38" spans="1:14" ht="12.75">
      <c r="A38" s="203">
        <f t="shared" si="1"/>
        <v>2.199999999999996</v>
      </c>
      <c r="B38" s="203" t="s">
        <v>26</v>
      </c>
      <c r="C38" s="203">
        <v>72281</v>
      </c>
      <c r="D38" s="232" t="s">
        <v>164</v>
      </c>
      <c r="E38" s="203" t="s">
        <v>11</v>
      </c>
      <c r="F38" s="229">
        <v>6</v>
      </c>
      <c r="G38" s="7"/>
      <c r="H38" s="189">
        <v>83.51</v>
      </c>
      <c r="I38" s="5"/>
      <c r="J38" s="11">
        <f t="shared" si="0"/>
        <v>501.06000000000006</v>
      </c>
      <c r="L38" s="8"/>
      <c r="M38" s="8"/>
      <c r="N38" s="188"/>
    </row>
    <row r="39" spans="1:14" ht="18" customHeight="1">
      <c r="A39" s="38"/>
      <c r="C39" s="38"/>
      <c r="E39" s="38"/>
      <c r="F39" s="7"/>
      <c r="G39" s="7"/>
      <c r="H39" s="12" t="s">
        <v>12</v>
      </c>
      <c r="I39" s="7"/>
      <c r="J39" s="12">
        <f>SUM(J19:J38)</f>
        <v>7185.700000000003</v>
      </c>
      <c r="L39" s="8"/>
      <c r="M39" s="8"/>
      <c r="N39" s="188"/>
    </row>
    <row r="40" spans="1:14" ht="12.75">
      <c r="A40" s="38"/>
      <c r="C40" s="38"/>
      <c r="E40" s="38"/>
      <c r="F40" s="7"/>
      <c r="G40" s="7"/>
      <c r="H40" s="7"/>
      <c r="I40" s="7"/>
      <c r="J40" s="7"/>
      <c r="L40" s="8"/>
      <c r="M40" s="8"/>
      <c r="N40" s="188"/>
    </row>
    <row r="41" spans="1:14" ht="12.75" customHeight="1">
      <c r="A41" s="30">
        <v>3</v>
      </c>
      <c r="B41" s="2"/>
      <c r="C41" s="2"/>
      <c r="D41" s="29" t="s">
        <v>15</v>
      </c>
      <c r="E41" s="2"/>
      <c r="F41" s="13" t="s">
        <v>3</v>
      </c>
      <c r="G41" s="7"/>
      <c r="H41" s="51" t="s">
        <v>4</v>
      </c>
      <c r="I41" s="5"/>
      <c r="J41" s="43" t="s">
        <v>5</v>
      </c>
      <c r="L41" s="8"/>
      <c r="M41" s="8"/>
      <c r="N41" s="188"/>
    </row>
    <row r="42" spans="1:14" ht="12.75">
      <c r="A42" s="2"/>
      <c r="B42" s="2"/>
      <c r="C42" s="2"/>
      <c r="D42" s="1"/>
      <c r="E42" s="2"/>
      <c r="F42" s="6"/>
      <c r="G42" s="7"/>
      <c r="H42" s="11"/>
      <c r="I42" s="5"/>
      <c r="J42" s="50"/>
      <c r="L42" s="8"/>
      <c r="M42" s="8"/>
      <c r="N42" s="188"/>
    </row>
    <row r="43" spans="1:14" ht="12.75">
      <c r="A43" s="2">
        <f>A41+0.01</f>
        <v>3.01</v>
      </c>
      <c r="B43" s="2" t="s">
        <v>26</v>
      </c>
      <c r="C43" s="2">
        <v>79472</v>
      </c>
      <c r="D43" s="1" t="s">
        <v>31</v>
      </c>
      <c r="E43" s="2" t="s">
        <v>10</v>
      </c>
      <c r="F43" s="6">
        <v>414.12</v>
      </c>
      <c r="G43" s="7"/>
      <c r="H43" s="189">
        <v>0.52</v>
      </c>
      <c r="I43" s="5"/>
      <c r="J43" s="50">
        <f aca="true" t="shared" si="2" ref="J43:J48">H43*F43</f>
        <v>215.3424</v>
      </c>
      <c r="L43" s="8"/>
      <c r="M43" s="8"/>
      <c r="N43" s="188">
        <v>0.41400000000000003</v>
      </c>
    </row>
    <row r="44" spans="1:14" ht="25.5">
      <c r="A44" s="2">
        <f>A43+0.01</f>
        <v>3.0199999999999996</v>
      </c>
      <c r="B44" s="203" t="s">
        <v>26</v>
      </c>
      <c r="C44" s="2">
        <v>92396</v>
      </c>
      <c r="D44" s="47" t="s">
        <v>140</v>
      </c>
      <c r="E44" s="2" t="s">
        <v>10</v>
      </c>
      <c r="F44" s="6">
        <v>414.12</v>
      </c>
      <c r="G44" s="7"/>
      <c r="H44" s="189">
        <v>56.23</v>
      </c>
      <c r="I44" s="7"/>
      <c r="J44" s="6">
        <f t="shared" si="2"/>
        <v>23285.9676</v>
      </c>
      <c r="L44" s="8"/>
      <c r="M44" s="8"/>
      <c r="N44" s="188">
        <v>26.433</v>
      </c>
    </row>
    <row r="45" spans="1:14" ht="12.75">
      <c r="A45" s="197">
        <f>A44+0.01</f>
        <v>3.0299999999999994</v>
      </c>
      <c r="B45" s="197" t="s">
        <v>26</v>
      </c>
      <c r="C45" s="197">
        <v>72132</v>
      </c>
      <c r="D45" s="1" t="s">
        <v>116</v>
      </c>
      <c r="E45" s="197" t="s">
        <v>10</v>
      </c>
      <c r="F45" s="196">
        <v>2.88</v>
      </c>
      <c r="G45" s="7"/>
      <c r="H45" s="189">
        <v>51.43</v>
      </c>
      <c r="I45" s="7"/>
      <c r="J45" s="196">
        <f t="shared" si="2"/>
        <v>148.11839999999998</v>
      </c>
      <c r="L45" s="8"/>
      <c r="M45" s="8"/>
      <c r="N45" s="188">
        <v>54.495</v>
      </c>
    </row>
    <row r="46" spans="1:14" ht="12.75">
      <c r="A46" s="203">
        <f>A45+0.01</f>
        <v>3.039999999999999</v>
      </c>
      <c r="B46" s="203" t="s">
        <v>26</v>
      </c>
      <c r="C46" s="203" t="s">
        <v>114</v>
      </c>
      <c r="D46" s="1" t="s">
        <v>115</v>
      </c>
      <c r="E46" s="203" t="s">
        <v>113</v>
      </c>
      <c r="F46" s="218">
        <v>1.28</v>
      </c>
      <c r="G46" s="7"/>
      <c r="H46" s="189">
        <v>326.1</v>
      </c>
      <c r="I46" s="7"/>
      <c r="J46" s="218">
        <f t="shared" si="2"/>
        <v>417.408</v>
      </c>
      <c r="L46" s="8"/>
      <c r="M46" s="8"/>
      <c r="N46" s="188">
        <v>54.495</v>
      </c>
    </row>
    <row r="47" spans="1:14" ht="25.5">
      <c r="A47" s="203">
        <f>A46+0.01</f>
        <v>3.049999999999999</v>
      </c>
      <c r="B47" s="203" t="s">
        <v>26</v>
      </c>
      <c r="C47" s="203">
        <v>75481</v>
      </c>
      <c r="D47" s="1" t="s">
        <v>141</v>
      </c>
      <c r="E47" s="203" t="s">
        <v>10</v>
      </c>
      <c r="F47" s="218">
        <f>1.71*4</f>
        <v>6.84</v>
      </c>
      <c r="G47" s="7"/>
      <c r="H47" s="189">
        <v>14.01</v>
      </c>
      <c r="I47" s="7"/>
      <c r="J47" s="218">
        <f t="shared" si="2"/>
        <v>95.8284</v>
      </c>
      <c r="L47" s="8"/>
      <c r="M47" s="8"/>
      <c r="N47" s="188"/>
    </row>
    <row r="48" spans="1:14" ht="27.75" customHeight="1">
      <c r="A48" s="203">
        <f>A47+0.01</f>
        <v>3.0599999999999987</v>
      </c>
      <c r="B48" s="203" t="s">
        <v>26</v>
      </c>
      <c r="C48" s="203" t="s">
        <v>142</v>
      </c>
      <c r="D48" s="1" t="s">
        <v>143</v>
      </c>
      <c r="E48" s="203" t="s">
        <v>10</v>
      </c>
      <c r="F48" s="196">
        <f>5.79*4</f>
        <v>23.16</v>
      </c>
      <c r="G48" s="7"/>
      <c r="H48" s="189">
        <v>10.12</v>
      </c>
      <c r="I48" s="7"/>
      <c r="J48" s="196">
        <f t="shared" si="2"/>
        <v>234.3792</v>
      </c>
      <c r="L48" s="8"/>
      <c r="M48" s="8"/>
      <c r="N48" s="188"/>
    </row>
    <row r="49" spans="6:14" ht="17.25" customHeight="1">
      <c r="F49" s="3"/>
      <c r="G49" s="3"/>
      <c r="H49" s="35" t="s">
        <v>12</v>
      </c>
      <c r="I49" s="7"/>
      <c r="J49" s="12">
        <f>SUM(J42:J48)</f>
        <v>24397.043999999998</v>
      </c>
      <c r="L49" s="8"/>
      <c r="M49" s="8"/>
      <c r="N49" s="188"/>
    </row>
    <row r="50" spans="1:14" ht="12.75">
      <c r="A50" s="38"/>
      <c r="C50" s="38"/>
      <c r="D50" s="271"/>
      <c r="E50" s="38"/>
      <c r="F50" s="7"/>
      <c r="G50" s="7"/>
      <c r="H50" s="7"/>
      <c r="I50" s="7"/>
      <c r="J50" s="7"/>
      <c r="L50" s="8"/>
      <c r="M50" s="8"/>
      <c r="N50" s="188"/>
    </row>
    <row r="51" spans="2:14" ht="19.5" customHeight="1">
      <c r="B51" s="40"/>
      <c r="F51" s="3"/>
      <c r="G51" s="3"/>
      <c r="H51" s="48" t="s">
        <v>12</v>
      </c>
      <c r="I51" s="7"/>
      <c r="J51" s="49">
        <f>J39+J49+J15</f>
        <v>33042.044</v>
      </c>
      <c r="L51" s="8"/>
      <c r="M51" s="8"/>
      <c r="N51" s="188"/>
    </row>
    <row r="52" spans="1:14" ht="19.5" customHeight="1">
      <c r="A52" s="278" t="s">
        <v>28</v>
      </c>
      <c r="B52" s="278"/>
      <c r="C52" s="278"/>
      <c r="F52" s="3"/>
      <c r="G52" s="3"/>
      <c r="H52" s="39"/>
      <c r="I52" s="7"/>
      <c r="J52" s="7"/>
      <c r="L52" s="8"/>
      <c r="M52" s="8"/>
      <c r="N52" s="188"/>
    </row>
    <row r="53" spans="1:14" ht="12.75">
      <c r="A53" s="30">
        <v>4</v>
      </c>
      <c r="B53" s="193"/>
      <c r="C53" s="193"/>
      <c r="D53" s="29" t="s">
        <v>14</v>
      </c>
      <c r="E53" s="2"/>
      <c r="F53" s="13" t="s">
        <v>3</v>
      </c>
      <c r="G53" s="7"/>
      <c r="H53" s="277" t="s">
        <v>4</v>
      </c>
      <c r="I53" s="5"/>
      <c r="J53" s="281" t="s">
        <v>5</v>
      </c>
      <c r="N53" s="188"/>
    </row>
    <row r="54" spans="1:14" ht="12.75">
      <c r="A54" s="2"/>
      <c r="B54" s="2"/>
      <c r="C54" s="2"/>
      <c r="D54" s="1"/>
      <c r="E54" s="2"/>
      <c r="F54" s="11"/>
      <c r="G54" s="7"/>
      <c r="H54" s="277"/>
      <c r="I54" s="5"/>
      <c r="J54" s="282"/>
      <c r="N54" s="188"/>
    </row>
    <row r="55" spans="1:14" ht="29.25" customHeight="1">
      <c r="A55" s="203">
        <f>A53+0.01</f>
        <v>4.01</v>
      </c>
      <c r="B55" s="203" t="s">
        <v>26</v>
      </c>
      <c r="C55" s="203">
        <v>9540</v>
      </c>
      <c r="D55" s="233" t="s">
        <v>167</v>
      </c>
      <c r="E55" s="203" t="s">
        <v>11</v>
      </c>
      <c r="F55" s="231">
        <v>1</v>
      </c>
      <c r="G55" s="7"/>
      <c r="H55" s="189">
        <v>788.36</v>
      </c>
      <c r="I55" s="5"/>
      <c r="J55" s="11">
        <f>H55*F55</f>
        <v>788.36</v>
      </c>
      <c r="L55" s="8"/>
      <c r="M55" s="8"/>
      <c r="N55" s="188"/>
    </row>
    <row r="56" spans="1:14" ht="25.5">
      <c r="A56" s="203">
        <f>A53+0.02</f>
        <v>4.02</v>
      </c>
      <c r="B56" s="203" t="s">
        <v>26</v>
      </c>
      <c r="C56" s="203" t="s">
        <v>123</v>
      </c>
      <c r="D56" s="232" t="s">
        <v>163</v>
      </c>
      <c r="E56" s="203" t="s">
        <v>11</v>
      </c>
      <c r="F56" s="231">
        <v>2</v>
      </c>
      <c r="G56" s="7"/>
      <c r="H56" s="189">
        <v>11.8</v>
      </c>
      <c r="I56" s="5"/>
      <c r="J56" s="11">
        <f>H56*F56</f>
        <v>23.6</v>
      </c>
      <c r="L56" s="8"/>
      <c r="M56" s="8"/>
      <c r="N56" s="188"/>
    </row>
    <row r="57" spans="1:14" ht="25.5">
      <c r="A57" s="203">
        <f>A56+0.01</f>
        <v>4.029999999999999</v>
      </c>
      <c r="B57" s="203" t="s">
        <v>26</v>
      </c>
      <c r="C57" s="203" t="s">
        <v>161</v>
      </c>
      <c r="D57" s="232" t="s">
        <v>162</v>
      </c>
      <c r="E57" s="203" t="s">
        <v>11</v>
      </c>
      <c r="F57" s="231">
        <v>1</v>
      </c>
      <c r="G57" s="7"/>
      <c r="H57" s="189">
        <v>18.51</v>
      </c>
      <c r="I57" s="5"/>
      <c r="J57" s="11">
        <f aca="true" t="shared" si="3" ref="J57:J74">H57*F57</f>
        <v>18.51</v>
      </c>
      <c r="L57" s="8"/>
      <c r="M57" s="8"/>
      <c r="N57" s="188"/>
    </row>
    <row r="58" spans="1:14" ht="25.5">
      <c r="A58" s="203">
        <f>A57+0.01</f>
        <v>4.039999999999999</v>
      </c>
      <c r="B58" s="203" t="s">
        <v>26</v>
      </c>
      <c r="C58" s="203">
        <v>84402</v>
      </c>
      <c r="D58" s="232" t="s">
        <v>189</v>
      </c>
      <c r="E58" s="203" t="s">
        <v>11</v>
      </c>
      <c r="F58" s="234">
        <v>1</v>
      </c>
      <c r="G58" s="7"/>
      <c r="H58" s="189">
        <v>43.95</v>
      </c>
      <c r="I58" s="5"/>
      <c r="J58" s="11">
        <f t="shared" si="3"/>
        <v>43.95</v>
      </c>
      <c r="L58" s="8"/>
      <c r="M58" s="8"/>
      <c r="N58" s="188"/>
    </row>
    <row r="59" spans="1:14" ht="12.75">
      <c r="A59" s="203">
        <f aca="true" t="shared" si="4" ref="A59:A74">A58+0.01</f>
        <v>4.049999999999999</v>
      </c>
      <c r="B59" s="203" t="s">
        <v>26</v>
      </c>
      <c r="C59" s="203">
        <v>68069</v>
      </c>
      <c r="D59" s="1" t="s">
        <v>124</v>
      </c>
      <c r="E59" s="203" t="s">
        <v>11</v>
      </c>
      <c r="F59" s="231">
        <v>3</v>
      </c>
      <c r="G59" s="7"/>
      <c r="H59" s="189">
        <v>43.06</v>
      </c>
      <c r="I59" s="5"/>
      <c r="J59" s="11">
        <f t="shared" si="3"/>
        <v>129.18</v>
      </c>
      <c r="L59" s="8"/>
      <c r="M59" s="8"/>
      <c r="N59" s="188"/>
    </row>
    <row r="60" spans="1:14" ht="41.25" customHeight="1">
      <c r="A60" s="203">
        <f t="shared" si="4"/>
        <v>4.059999999999999</v>
      </c>
      <c r="B60" s="203" t="s">
        <v>26</v>
      </c>
      <c r="C60" s="203" t="s">
        <v>149</v>
      </c>
      <c r="D60" s="232" t="s">
        <v>150</v>
      </c>
      <c r="E60" s="203" t="s">
        <v>11</v>
      </c>
      <c r="F60" s="231">
        <v>8</v>
      </c>
      <c r="G60" s="7"/>
      <c r="H60" s="189">
        <v>101.16</v>
      </c>
      <c r="I60" s="5"/>
      <c r="J60" s="11">
        <f t="shared" si="3"/>
        <v>809.28</v>
      </c>
      <c r="L60" s="8"/>
      <c r="M60" s="8"/>
      <c r="N60" s="188"/>
    </row>
    <row r="61" spans="1:14" ht="12.75">
      <c r="A61" s="203">
        <f t="shared" si="4"/>
        <v>4.0699999999999985</v>
      </c>
      <c r="B61" s="203" t="s">
        <v>26</v>
      </c>
      <c r="C61" s="203" t="s">
        <v>105</v>
      </c>
      <c r="D61" s="1" t="s">
        <v>106</v>
      </c>
      <c r="E61" s="203" t="s">
        <v>11</v>
      </c>
      <c r="F61" s="231">
        <v>8</v>
      </c>
      <c r="G61" s="7"/>
      <c r="H61" s="189">
        <v>46.01</v>
      </c>
      <c r="I61" s="5"/>
      <c r="J61" s="11">
        <f t="shared" si="3"/>
        <v>368.08</v>
      </c>
      <c r="L61" s="8"/>
      <c r="M61" s="8"/>
      <c r="N61" s="188"/>
    </row>
    <row r="62" spans="1:14" ht="25.5">
      <c r="A62" s="203">
        <f t="shared" si="4"/>
        <v>4.079999999999998</v>
      </c>
      <c r="B62" s="203" t="s">
        <v>26</v>
      </c>
      <c r="C62" s="203" t="s">
        <v>121</v>
      </c>
      <c r="D62" s="1" t="s">
        <v>122</v>
      </c>
      <c r="E62" s="203" t="s">
        <v>11</v>
      </c>
      <c r="F62" s="231">
        <v>4</v>
      </c>
      <c r="G62" s="7"/>
      <c r="H62" s="189">
        <v>530.9</v>
      </c>
      <c r="I62" s="5"/>
      <c r="J62" s="11">
        <f t="shared" si="3"/>
        <v>2123.6</v>
      </c>
      <c r="L62" s="8"/>
      <c r="M62" s="8"/>
      <c r="N62" s="188"/>
    </row>
    <row r="63" spans="1:14" ht="12.75">
      <c r="A63" s="203">
        <f t="shared" si="4"/>
        <v>4.089999999999998</v>
      </c>
      <c r="B63" s="203" t="s">
        <v>26</v>
      </c>
      <c r="C63" s="203">
        <v>83447</v>
      </c>
      <c r="D63" s="1" t="s">
        <v>104</v>
      </c>
      <c r="E63" s="203" t="s">
        <v>11</v>
      </c>
      <c r="F63" s="231">
        <v>5</v>
      </c>
      <c r="G63" s="7"/>
      <c r="H63" s="189">
        <v>130.96</v>
      </c>
      <c r="I63" s="5"/>
      <c r="J63" s="11">
        <f t="shared" si="3"/>
        <v>654.8000000000001</v>
      </c>
      <c r="L63" s="8"/>
      <c r="M63" s="8"/>
      <c r="N63" s="188"/>
    </row>
    <row r="64" spans="1:14" ht="12.75">
      <c r="A64" s="203">
        <f t="shared" si="4"/>
        <v>4.099999999999998</v>
      </c>
      <c r="B64" s="203" t="s">
        <v>26</v>
      </c>
      <c r="C64" s="203">
        <v>72250</v>
      </c>
      <c r="D64" s="232" t="s">
        <v>197</v>
      </c>
      <c r="E64" s="203" t="s">
        <v>0</v>
      </c>
      <c r="F64" s="234">
        <v>10</v>
      </c>
      <c r="G64" s="7"/>
      <c r="H64" s="189">
        <v>6.62</v>
      </c>
      <c r="I64" s="5"/>
      <c r="J64" s="11">
        <f t="shared" si="3"/>
        <v>66.2</v>
      </c>
      <c r="L64" s="8"/>
      <c r="M64" s="8"/>
      <c r="N64" s="188"/>
    </row>
    <row r="65" spans="1:14" ht="25.5">
      <c r="A65" s="203">
        <f t="shared" si="4"/>
        <v>4.109999999999998</v>
      </c>
      <c r="B65" s="203" t="s">
        <v>26</v>
      </c>
      <c r="C65" s="203">
        <v>91856</v>
      </c>
      <c r="D65" s="232" t="s">
        <v>191</v>
      </c>
      <c r="E65" s="203" t="s">
        <v>0</v>
      </c>
      <c r="F65" s="234">
        <v>123</v>
      </c>
      <c r="G65" s="7"/>
      <c r="H65" s="189">
        <v>6.94</v>
      </c>
      <c r="I65" s="5"/>
      <c r="J65" s="11">
        <f t="shared" si="3"/>
        <v>853.62</v>
      </c>
      <c r="L65" s="8"/>
      <c r="M65" s="8"/>
      <c r="N65" s="188"/>
    </row>
    <row r="66" spans="1:14" ht="25.5">
      <c r="A66" s="203">
        <f t="shared" si="4"/>
        <v>4.119999999999997</v>
      </c>
      <c r="B66" s="203" t="s">
        <v>26</v>
      </c>
      <c r="C66" s="203">
        <v>91872</v>
      </c>
      <c r="D66" s="232" t="s">
        <v>192</v>
      </c>
      <c r="E66" s="203" t="s">
        <v>0</v>
      </c>
      <c r="F66" s="234">
        <v>27</v>
      </c>
      <c r="G66" s="7"/>
      <c r="H66" s="189">
        <v>8.42</v>
      </c>
      <c r="I66" s="5"/>
      <c r="J66" s="11">
        <f t="shared" si="3"/>
        <v>227.34</v>
      </c>
      <c r="L66" s="8"/>
      <c r="M66" s="8"/>
      <c r="N66" s="188"/>
    </row>
    <row r="67" spans="1:14" ht="27.75" customHeight="1">
      <c r="A67" s="203">
        <f t="shared" si="4"/>
        <v>4.129999999999997</v>
      </c>
      <c r="B67" s="203" t="s">
        <v>26</v>
      </c>
      <c r="C67" s="203">
        <v>91885</v>
      </c>
      <c r="D67" s="232" t="s">
        <v>193</v>
      </c>
      <c r="E67" s="203" t="s">
        <v>11</v>
      </c>
      <c r="F67" s="234">
        <v>13</v>
      </c>
      <c r="G67" s="7"/>
      <c r="H67" s="189">
        <v>6.36</v>
      </c>
      <c r="I67" s="5"/>
      <c r="J67" s="11">
        <f t="shared" si="3"/>
        <v>82.68</v>
      </c>
      <c r="L67" s="8"/>
      <c r="M67" s="8"/>
      <c r="N67" s="188"/>
    </row>
    <row r="68" spans="1:14" ht="25.5">
      <c r="A68" s="203">
        <f t="shared" si="4"/>
        <v>4.139999999999997</v>
      </c>
      <c r="B68" s="203" t="s">
        <v>26</v>
      </c>
      <c r="C68" s="203">
        <v>91893</v>
      </c>
      <c r="D68" s="232" t="s">
        <v>166</v>
      </c>
      <c r="E68" s="203" t="s">
        <v>11</v>
      </c>
      <c r="F68" s="234">
        <v>5</v>
      </c>
      <c r="G68" s="7"/>
      <c r="H68" s="189">
        <v>8.39</v>
      </c>
      <c r="I68" s="5"/>
      <c r="J68" s="11">
        <f t="shared" si="3"/>
        <v>41.95</v>
      </c>
      <c r="L68" s="8"/>
      <c r="M68" s="8"/>
      <c r="N68" s="188"/>
    </row>
    <row r="69" spans="1:14" ht="16.5" customHeight="1">
      <c r="A69" s="203">
        <f t="shared" si="4"/>
        <v>4.149999999999997</v>
      </c>
      <c r="B69" s="203" t="s">
        <v>26</v>
      </c>
      <c r="C69" s="203">
        <v>83399</v>
      </c>
      <c r="D69" s="232" t="s">
        <v>160</v>
      </c>
      <c r="E69" s="203" t="s">
        <v>11</v>
      </c>
      <c r="F69" s="234">
        <v>4</v>
      </c>
      <c r="G69" s="7"/>
      <c r="H69" s="189">
        <v>34.54</v>
      </c>
      <c r="I69" s="5"/>
      <c r="J69" s="11">
        <f t="shared" si="3"/>
        <v>138.16</v>
      </c>
      <c r="L69" s="8"/>
      <c r="M69" s="8"/>
      <c r="N69" s="188"/>
    </row>
    <row r="70" spans="1:14" ht="25.5">
      <c r="A70" s="203">
        <f t="shared" si="4"/>
        <v>4.159999999999997</v>
      </c>
      <c r="B70" s="203" t="s">
        <v>26</v>
      </c>
      <c r="C70" s="203">
        <v>91929</v>
      </c>
      <c r="D70" s="232" t="s">
        <v>194</v>
      </c>
      <c r="E70" s="203" t="s">
        <v>0</v>
      </c>
      <c r="F70" s="234">
        <v>200</v>
      </c>
      <c r="G70" s="7"/>
      <c r="H70" s="189">
        <v>4.9</v>
      </c>
      <c r="I70" s="5"/>
      <c r="J70" s="11">
        <f t="shared" si="3"/>
        <v>980.0000000000001</v>
      </c>
      <c r="L70" s="8"/>
      <c r="M70" s="8"/>
      <c r="N70" s="188"/>
    </row>
    <row r="71" spans="1:14" ht="25.5">
      <c r="A71" s="203">
        <f t="shared" si="4"/>
        <v>4.169999999999996</v>
      </c>
      <c r="B71" s="203" t="s">
        <v>26</v>
      </c>
      <c r="C71" s="203">
        <v>91929</v>
      </c>
      <c r="D71" s="232" t="s">
        <v>195</v>
      </c>
      <c r="E71" s="203" t="s">
        <v>0</v>
      </c>
      <c r="F71" s="234">
        <v>200</v>
      </c>
      <c r="G71" s="7"/>
      <c r="H71" s="189">
        <v>4.9</v>
      </c>
      <c r="I71" s="5"/>
      <c r="J71" s="11">
        <f t="shared" si="3"/>
        <v>980.0000000000001</v>
      </c>
      <c r="L71" s="8"/>
      <c r="M71" s="8"/>
      <c r="N71" s="188"/>
    </row>
    <row r="72" spans="1:14" ht="25.5">
      <c r="A72" s="203">
        <f t="shared" si="4"/>
        <v>4.179999999999996</v>
      </c>
      <c r="B72" s="203" t="s">
        <v>26</v>
      </c>
      <c r="C72" s="203">
        <v>91929</v>
      </c>
      <c r="D72" s="232" t="s">
        <v>196</v>
      </c>
      <c r="E72" s="203" t="s">
        <v>0</v>
      </c>
      <c r="F72" s="234">
        <v>140</v>
      </c>
      <c r="G72" s="7"/>
      <c r="H72" s="189">
        <v>4.9</v>
      </c>
      <c r="I72" s="5"/>
      <c r="J72" s="11">
        <f t="shared" si="3"/>
        <v>686</v>
      </c>
      <c r="L72" s="8"/>
      <c r="M72" s="8"/>
      <c r="N72" s="188"/>
    </row>
    <row r="73" spans="1:14" ht="25.5">
      <c r="A73" s="203">
        <f t="shared" si="4"/>
        <v>4.189999999999996</v>
      </c>
      <c r="B73" s="203" t="s">
        <v>26</v>
      </c>
      <c r="C73" s="203">
        <v>72271</v>
      </c>
      <c r="D73" s="232" t="s">
        <v>165</v>
      </c>
      <c r="E73" s="203" t="s">
        <v>11</v>
      </c>
      <c r="F73" s="234">
        <v>5</v>
      </c>
      <c r="G73" s="7"/>
      <c r="H73" s="189">
        <v>8.91</v>
      </c>
      <c r="I73" s="5"/>
      <c r="J73" s="11">
        <f t="shared" si="3"/>
        <v>44.55</v>
      </c>
      <c r="L73" s="8"/>
      <c r="M73" s="8"/>
      <c r="N73" s="188"/>
    </row>
    <row r="74" spans="1:14" ht="12.75">
      <c r="A74" s="203">
        <f t="shared" si="4"/>
        <v>4.199999999999996</v>
      </c>
      <c r="B74" s="203" t="s">
        <v>26</v>
      </c>
      <c r="C74" s="203">
        <v>72281</v>
      </c>
      <c r="D74" s="232" t="s">
        <v>164</v>
      </c>
      <c r="E74" s="203" t="s">
        <v>11</v>
      </c>
      <c r="F74" s="234">
        <v>8</v>
      </c>
      <c r="G74" s="7"/>
      <c r="H74" s="189">
        <v>83.51</v>
      </c>
      <c r="I74" s="5"/>
      <c r="J74" s="11">
        <f t="shared" si="3"/>
        <v>668.08</v>
      </c>
      <c r="L74" s="8"/>
      <c r="M74" s="8"/>
      <c r="N74" s="188"/>
    </row>
    <row r="75" spans="1:14" ht="12.75">
      <c r="A75" s="38"/>
      <c r="C75" s="38"/>
      <c r="E75" s="38"/>
      <c r="F75" s="7"/>
      <c r="G75" s="7"/>
      <c r="H75" s="12" t="s">
        <v>12</v>
      </c>
      <c r="I75" s="7"/>
      <c r="J75" s="12">
        <f>SUM(J55:J74)</f>
        <v>9727.939999999999</v>
      </c>
      <c r="N75" s="188"/>
    </row>
    <row r="76" spans="1:14" ht="12.75">
      <c r="A76" s="38"/>
      <c r="C76" s="38"/>
      <c r="E76" s="38"/>
      <c r="F76" s="7"/>
      <c r="G76" s="7"/>
      <c r="H76" s="7"/>
      <c r="I76" s="7"/>
      <c r="J76" s="7"/>
      <c r="N76" s="188"/>
    </row>
    <row r="77" spans="1:14" ht="12.75">
      <c r="A77" s="30">
        <v>5</v>
      </c>
      <c r="B77" s="2"/>
      <c r="C77" s="2"/>
      <c r="D77" s="29" t="s">
        <v>15</v>
      </c>
      <c r="E77" s="2"/>
      <c r="F77" s="13" t="s">
        <v>3</v>
      </c>
      <c r="G77" s="7"/>
      <c r="H77" s="43" t="s">
        <v>4</v>
      </c>
      <c r="I77" s="5"/>
      <c r="J77" s="43" t="s">
        <v>5</v>
      </c>
      <c r="N77" s="188"/>
    </row>
    <row r="78" spans="1:14" ht="12.75">
      <c r="A78" s="2">
        <f>A77+0.01</f>
        <v>5.01</v>
      </c>
      <c r="B78" s="195" t="s">
        <v>26</v>
      </c>
      <c r="C78" s="195">
        <v>79472</v>
      </c>
      <c r="D78" s="1" t="s">
        <v>31</v>
      </c>
      <c r="E78" s="2" t="s">
        <v>10</v>
      </c>
      <c r="F78" s="6">
        <v>4392.95</v>
      </c>
      <c r="G78" s="7"/>
      <c r="H78" s="189">
        <v>0.52</v>
      </c>
      <c r="I78" s="5"/>
      <c r="J78" s="6">
        <f aca="true" t="shared" si="5" ref="J78:J83">H78*F78</f>
        <v>2284.334</v>
      </c>
      <c r="M78" s="8"/>
      <c r="N78" s="188">
        <v>0.41400000000000003</v>
      </c>
    </row>
    <row r="79" spans="1:14" ht="25.5">
      <c r="A79" s="197">
        <f>A78+0.01</f>
        <v>5.02</v>
      </c>
      <c r="B79" s="203" t="s">
        <v>26</v>
      </c>
      <c r="C79" s="203">
        <v>92396</v>
      </c>
      <c r="D79" s="47" t="s">
        <v>140</v>
      </c>
      <c r="E79" s="197" t="s">
        <v>10</v>
      </c>
      <c r="F79" s="196">
        <v>649.25</v>
      </c>
      <c r="G79" s="7"/>
      <c r="H79" s="189">
        <v>56.23</v>
      </c>
      <c r="I79" s="7"/>
      <c r="J79" s="196">
        <f t="shared" si="5"/>
        <v>36507.3275</v>
      </c>
      <c r="L79" s="8"/>
      <c r="M79" s="8"/>
      <c r="N79" s="188">
        <v>26.433</v>
      </c>
    </row>
    <row r="80" spans="1:14" ht="12.75">
      <c r="A80" s="197">
        <f>A79+0.01</f>
        <v>5.029999999999999</v>
      </c>
      <c r="B80" s="197" t="s">
        <v>26</v>
      </c>
      <c r="C80" s="197">
        <v>72132</v>
      </c>
      <c r="D80" s="1" t="s">
        <v>116</v>
      </c>
      <c r="E80" s="197" t="s">
        <v>10</v>
      </c>
      <c r="F80" s="196">
        <v>4.32</v>
      </c>
      <c r="G80" s="7"/>
      <c r="H80" s="189">
        <v>51.43</v>
      </c>
      <c r="I80" s="7"/>
      <c r="J80" s="196">
        <f t="shared" si="5"/>
        <v>222.1776</v>
      </c>
      <c r="L80" s="8"/>
      <c r="M80" s="8"/>
      <c r="N80" s="188">
        <v>54.495</v>
      </c>
    </row>
    <row r="81" spans="1:14" ht="12.75">
      <c r="A81" s="203">
        <f>A78+0.01</f>
        <v>5.02</v>
      </c>
      <c r="B81" s="203" t="s">
        <v>26</v>
      </c>
      <c r="C81" s="203" t="s">
        <v>114</v>
      </c>
      <c r="D81" s="1" t="s">
        <v>115</v>
      </c>
      <c r="E81" s="203" t="s">
        <v>113</v>
      </c>
      <c r="F81" s="218">
        <v>1.92</v>
      </c>
      <c r="G81" s="7"/>
      <c r="H81" s="189">
        <v>326.1</v>
      </c>
      <c r="I81" s="7"/>
      <c r="J81" s="218">
        <f t="shared" si="5"/>
        <v>626.112</v>
      </c>
      <c r="L81" s="8"/>
      <c r="M81" s="8"/>
      <c r="N81" s="188">
        <v>54.495</v>
      </c>
    </row>
    <row r="82" spans="1:14" ht="25.5">
      <c r="A82" s="203">
        <f>A81+0.01</f>
        <v>5.029999999999999</v>
      </c>
      <c r="B82" s="203" t="s">
        <v>26</v>
      </c>
      <c r="C82" s="203">
        <v>75481</v>
      </c>
      <c r="D82" s="1" t="s">
        <v>141</v>
      </c>
      <c r="E82" s="203" t="s">
        <v>10</v>
      </c>
      <c r="F82" s="219">
        <f>1.71*6</f>
        <v>10.26</v>
      </c>
      <c r="G82" s="7"/>
      <c r="H82" s="189">
        <v>14.01</v>
      </c>
      <c r="I82" s="7"/>
      <c r="J82" s="219">
        <f t="shared" si="5"/>
        <v>143.74259999999998</v>
      </c>
      <c r="L82" s="8"/>
      <c r="M82" s="8"/>
      <c r="N82" s="188"/>
    </row>
    <row r="83" spans="1:14" ht="12.75">
      <c r="A83" s="203">
        <f>A82+0.01</f>
        <v>5.039999999999999</v>
      </c>
      <c r="B83" s="203" t="s">
        <v>26</v>
      </c>
      <c r="C83" s="203" t="s">
        <v>142</v>
      </c>
      <c r="D83" s="1" t="s">
        <v>143</v>
      </c>
      <c r="E83" s="203" t="s">
        <v>10</v>
      </c>
      <c r="F83" s="219">
        <f>5.79*6</f>
        <v>34.74</v>
      </c>
      <c r="G83" s="7"/>
      <c r="H83" s="189">
        <v>10.12</v>
      </c>
      <c r="I83" s="7"/>
      <c r="J83" s="219">
        <f t="shared" si="5"/>
        <v>351.5688</v>
      </c>
      <c r="L83" s="8"/>
      <c r="M83" s="8"/>
      <c r="N83" s="188"/>
    </row>
    <row r="84" spans="6:14" ht="12.75">
      <c r="F84" s="3"/>
      <c r="G84" s="3"/>
      <c r="H84" s="35" t="s">
        <v>12</v>
      </c>
      <c r="I84" s="7"/>
      <c r="J84" s="12">
        <f>SUM(J78:J83)</f>
        <v>40135.262500000004</v>
      </c>
      <c r="N84" s="188"/>
    </row>
    <row r="85" spans="1:14" ht="12.75">
      <c r="A85" s="38"/>
      <c r="C85" s="38"/>
      <c r="E85" s="38"/>
      <c r="F85" s="7"/>
      <c r="G85" s="7"/>
      <c r="H85" s="7"/>
      <c r="I85" s="7"/>
      <c r="J85" s="7"/>
      <c r="N85" s="188"/>
    </row>
    <row r="86" spans="1:14" ht="12.75">
      <c r="A86" s="30">
        <v>6</v>
      </c>
      <c r="B86" s="2"/>
      <c r="C86" s="2"/>
      <c r="D86" s="29" t="s">
        <v>24</v>
      </c>
      <c r="E86" s="2"/>
      <c r="F86" s="13" t="s">
        <v>3</v>
      </c>
      <c r="G86" s="7"/>
      <c r="H86" s="43" t="s">
        <v>4</v>
      </c>
      <c r="I86" s="5"/>
      <c r="J86" s="43" t="s">
        <v>5</v>
      </c>
      <c r="N86" s="188"/>
    </row>
    <row r="87" spans="1:14" ht="12.75">
      <c r="A87" s="2">
        <f>A86+0.01</f>
        <v>6.01</v>
      </c>
      <c r="B87" s="203" t="s">
        <v>198</v>
      </c>
      <c r="C87" s="203">
        <v>270210</v>
      </c>
      <c r="D87" s="1" t="s">
        <v>120</v>
      </c>
      <c r="E87" s="2" t="s">
        <v>10</v>
      </c>
      <c r="F87" s="6">
        <v>3713.99</v>
      </c>
      <c r="G87" s="7"/>
      <c r="H87" s="189">
        <v>10.25</v>
      </c>
      <c r="I87" s="7"/>
      <c r="J87" s="6">
        <f>H87*F87</f>
        <v>38068.3975</v>
      </c>
      <c r="M87" s="8"/>
      <c r="N87" s="188">
        <v>7.713</v>
      </c>
    </row>
    <row r="88" spans="6:14" ht="12.75">
      <c r="F88" s="3"/>
      <c r="G88" s="3"/>
      <c r="H88" s="35" t="s">
        <v>12</v>
      </c>
      <c r="I88" s="7"/>
      <c r="J88" s="12">
        <f>SUM(J87:J87)</f>
        <v>38068.3975</v>
      </c>
      <c r="N88" s="188"/>
    </row>
    <row r="89" ht="6.75" customHeight="1">
      <c r="N89" s="188"/>
    </row>
    <row r="90" spans="2:14" ht="19.5" customHeight="1">
      <c r="B90" s="42"/>
      <c r="H90" s="48" t="s">
        <v>12</v>
      </c>
      <c r="I90" s="7"/>
      <c r="J90" s="49">
        <f>J75+J84+J88</f>
        <v>87931.6</v>
      </c>
      <c r="N90" s="188"/>
    </row>
    <row r="91" spans="1:14" ht="19.5" customHeight="1">
      <c r="A91" s="278" t="s">
        <v>157</v>
      </c>
      <c r="B91" s="278"/>
      <c r="N91" s="188"/>
    </row>
    <row r="92" spans="1:14" ht="12.75">
      <c r="A92" s="30">
        <v>7</v>
      </c>
      <c r="B92" s="198"/>
      <c r="C92" s="198"/>
      <c r="D92" s="29" t="s">
        <v>14</v>
      </c>
      <c r="E92" s="2"/>
      <c r="F92" s="13" t="s">
        <v>3</v>
      </c>
      <c r="G92" s="7"/>
      <c r="H92" s="277" t="s">
        <v>4</v>
      </c>
      <c r="I92" s="5"/>
      <c r="J92" s="277" t="s">
        <v>5</v>
      </c>
      <c r="N92" s="188"/>
    </row>
    <row r="93" spans="1:14" ht="12.75">
      <c r="A93" s="2"/>
      <c r="B93" s="2"/>
      <c r="C93" s="2"/>
      <c r="D93" s="1"/>
      <c r="E93" s="2"/>
      <c r="F93" s="6"/>
      <c r="G93" s="7"/>
      <c r="H93" s="281"/>
      <c r="I93" s="5"/>
      <c r="J93" s="277"/>
      <c r="N93" s="188"/>
    </row>
    <row r="94" spans="1:14" ht="29.25" customHeight="1">
      <c r="A94" s="203">
        <f>A92+0.01</f>
        <v>7.01</v>
      </c>
      <c r="B94" s="203" t="s">
        <v>26</v>
      </c>
      <c r="C94" s="203">
        <v>9540</v>
      </c>
      <c r="D94" s="233" t="s">
        <v>167</v>
      </c>
      <c r="E94" s="203" t="s">
        <v>11</v>
      </c>
      <c r="F94" s="234">
        <v>1</v>
      </c>
      <c r="G94" s="7"/>
      <c r="H94" s="189">
        <v>788.36</v>
      </c>
      <c r="I94" s="5"/>
      <c r="J94" s="11">
        <f>H94*F94</f>
        <v>788.36</v>
      </c>
      <c r="L94" s="8"/>
      <c r="M94" s="8"/>
      <c r="N94" s="188"/>
    </row>
    <row r="95" spans="1:14" ht="25.5">
      <c r="A95" s="203">
        <f>A92+0.02</f>
        <v>7.02</v>
      </c>
      <c r="B95" s="203" t="s">
        <v>26</v>
      </c>
      <c r="C95" s="203" t="s">
        <v>123</v>
      </c>
      <c r="D95" s="232" t="s">
        <v>163</v>
      </c>
      <c r="E95" s="203" t="s">
        <v>11</v>
      </c>
      <c r="F95" s="234">
        <v>2</v>
      </c>
      <c r="G95" s="7"/>
      <c r="H95" s="189">
        <v>11.8</v>
      </c>
      <c r="I95" s="5"/>
      <c r="J95" s="11">
        <f>H95*F95</f>
        <v>23.6</v>
      </c>
      <c r="L95" s="8"/>
      <c r="M95" s="8"/>
      <c r="N95" s="188"/>
    </row>
    <row r="96" spans="1:14" ht="25.5">
      <c r="A96" s="203">
        <f>A95+0.01</f>
        <v>7.029999999999999</v>
      </c>
      <c r="B96" s="203" t="s">
        <v>26</v>
      </c>
      <c r="C96" s="203" t="s">
        <v>161</v>
      </c>
      <c r="D96" s="232" t="s">
        <v>162</v>
      </c>
      <c r="E96" s="203" t="s">
        <v>11</v>
      </c>
      <c r="F96" s="234">
        <v>1</v>
      </c>
      <c r="G96" s="7"/>
      <c r="H96" s="189">
        <v>18.51</v>
      </c>
      <c r="I96" s="5"/>
      <c r="J96" s="11">
        <f aca="true" t="shared" si="6" ref="J96:J113">H96*F96</f>
        <v>18.51</v>
      </c>
      <c r="L96" s="8"/>
      <c r="M96" s="8"/>
      <c r="N96" s="188"/>
    </row>
    <row r="97" spans="1:14" ht="25.5">
      <c r="A97" s="203">
        <f>A96+0.01</f>
        <v>7.039999999999999</v>
      </c>
      <c r="B97" s="203" t="s">
        <v>26</v>
      </c>
      <c r="C97" s="203">
        <v>84402</v>
      </c>
      <c r="D97" s="232" t="s">
        <v>189</v>
      </c>
      <c r="E97" s="203" t="s">
        <v>11</v>
      </c>
      <c r="F97" s="234">
        <v>1</v>
      </c>
      <c r="G97" s="7"/>
      <c r="H97" s="189">
        <v>43.95</v>
      </c>
      <c r="I97" s="5"/>
      <c r="J97" s="11">
        <f t="shared" si="6"/>
        <v>43.95</v>
      </c>
      <c r="L97" s="8"/>
      <c r="M97" s="8"/>
      <c r="N97" s="188"/>
    </row>
    <row r="98" spans="1:14" ht="12.75">
      <c r="A98" s="203">
        <f aca="true" t="shared" si="7" ref="A98:A113">A97+0.01</f>
        <v>7.049999999999999</v>
      </c>
      <c r="B98" s="203" t="s">
        <v>26</v>
      </c>
      <c r="C98" s="203">
        <v>68069</v>
      </c>
      <c r="D98" s="1" t="s">
        <v>124</v>
      </c>
      <c r="E98" s="203" t="s">
        <v>11</v>
      </c>
      <c r="F98" s="234">
        <v>3</v>
      </c>
      <c r="G98" s="7"/>
      <c r="H98" s="189">
        <v>43.06</v>
      </c>
      <c r="I98" s="5"/>
      <c r="J98" s="11">
        <f t="shared" si="6"/>
        <v>129.18</v>
      </c>
      <c r="L98" s="8"/>
      <c r="M98" s="8"/>
      <c r="N98" s="188"/>
    </row>
    <row r="99" spans="1:14" ht="41.25" customHeight="1">
      <c r="A99" s="203">
        <f t="shared" si="7"/>
        <v>7.059999999999999</v>
      </c>
      <c r="B99" s="203" t="s">
        <v>26</v>
      </c>
      <c r="C99" s="203" t="s">
        <v>149</v>
      </c>
      <c r="D99" s="232" t="s">
        <v>150</v>
      </c>
      <c r="E99" s="203" t="s">
        <v>11</v>
      </c>
      <c r="F99" s="234">
        <v>4</v>
      </c>
      <c r="G99" s="7"/>
      <c r="H99" s="189">
        <v>101.16</v>
      </c>
      <c r="I99" s="5"/>
      <c r="J99" s="11">
        <f t="shared" si="6"/>
        <v>404.64</v>
      </c>
      <c r="L99" s="8"/>
      <c r="M99" s="8"/>
      <c r="N99" s="188"/>
    </row>
    <row r="100" spans="1:14" ht="12.75">
      <c r="A100" s="203">
        <f t="shared" si="7"/>
        <v>7.0699999999999985</v>
      </c>
      <c r="B100" s="203" t="s">
        <v>26</v>
      </c>
      <c r="C100" s="203" t="s">
        <v>105</v>
      </c>
      <c r="D100" s="1" t="s">
        <v>106</v>
      </c>
      <c r="E100" s="203" t="s">
        <v>11</v>
      </c>
      <c r="F100" s="234">
        <v>4</v>
      </c>
      <c r="G100" s="7"/>
      <c r="H100" s="189">
        <v>46.01</v>
      </c>
      <c r="I100" s="5"/>
      <c r="J100" s="11">
        <f t="shared" si="6"/>
        <v>184.04</v>
      </c>
      <c r="L100" s="8"/>
      <c r="M100" s="8"/>
      <c r="N100" s="188"/>
    </row>
    <row r="101" spans="1:14" ht="25.5">
      <c r="A101" s="203">
        <f>A100+0.01</f>
        <v>7.079999999999998</v>
      </c>
      <c r="B101" s="203" t="s">
        <v>26</v>
      </c>
      <c r="C101" s="203" t="s">
        <v>121</v>
      </c>
      <c r="D101" s="1" t="s">
        <v>122</v>
      </c>
      <c r="E101" s="203" t="s">
        <v>11</v>
      </c>
      <c r="F101" s="234">
        <v>2</v>
      </c>
      <c r="G101" s="7"/>
      <c r="H101" s="189">
        <v>530.9</v>
      </c>
      <c r="I101" s="5"/>
      <c r="J101" s="11">
        <f t="shared" si="6"/>
        <v>1061.8</v>
      </c>
      <c r="L101" s="8"/>
      <c r="M101" s="8"/>
      <c r="N101" s="188"/>
    </row>
    <row r="102" spans="1:14" ht="12.75">
      <c r="A102" s="203">
        <f t="shared" si="7"/>
        <v>7.089999999999998</v>
      </c>
      <c r="B102" s="203" t="s">
        <v>26</v>
      </c>
      <c r="C102" s="203">
        <v>83447</v>
      </c>
      <c r="D102" s="1" t="s">
        <v>104</v>
      </c>
      <c r="E102" s="203" t="s">
        <v>11</v>
      </c>
      <c r="F102" s="234">
        <v>3</v>
      </c>
      <c r="G102" s="7"/>
      <c r="H102" s="189">
        <v>130.96</v>
      </c>
      <c r="I102" s="5"/>
      <c r="J102" s="11">
        <f t="shared" si="6"/>
        <v>392.88</v>
      </c>
      <c r="L102" s="8"/>
      <c r="M102" s="8"/>
      <c r="N102" s="188"/>
    </row>
    <row r="103" spans="1:14" ht="12.75">
      <c r="A103" s="203">
        <f t="shared" si="7"/>
        <v>7.099999999999998</v>
      </c>
      <c r="B103" s="203" t="s">
        <v>26</v>
      </c>
      <c r="C103" s="203">
        <v>72250</v>
      </c>
      <c r="D103" s="232" t="s">
        <v>197</v>
      </c>
      <c r="E103" s="203" t="s">
        <v>0</v>
      </c>
      <c r="F103" s="234">
        <v>10</v>
      </c>
      <c r="G103" s="7"/>
      <c r="H103" s="189">
        <v>6.62</v>
      </c>
      <c r="I103" s="5"/>
      <c r="J103" s="11">
        <f t="shared" si="6"/>
        <v>66.2</v>
      </c>
      <c r="L103" s="8"/>
      <c r="M103" s="8"/>
      <c r="N103" s="188"/>
    </row>
    <row r="104" spans="1:14" ht="25.5">
      <c r="A104" s="203">
        <f t="shared" si="7"/>
        <v>7.109999999999998</v>
      </c>
      <c r="B104" s="203" t="s">
        <v>26</v>
      </c>
      <c r="C104" s="203">
        <v>91856</v>
      </c>
      <c r="D104" s="232" t="s">
        <v>191</v>
      </c>
      <c r="E104" s="203" t="s">
        <v>0</v>
      </c>
      <c r="F104" s="234">
        <v>51</v>
      </c>
      <c r="G104" s="7"/>
      <c r="H104" s="189">
        <v>6.94</v>
      </c>
      <c r="I104" s="5"/>
      <c r="J104" s="11">
        <f t="shared" si="6"/>
        <v>353.94</v>
      </c>
      <c r="L104" s="8"/>
      <c r="M104" s="8"/>
      <c r="N104" s="188"/>
    </row>
    <row r="105" spans="1:14" ht="25.5">
      <c r="A105" s="203">
        <f t="shared" si="7"/>
        <v>7.119999999999997</v>
      </c>
      <c r="B105" s="203" t="s">
        <v>26</v>
      </c>
      <c r="C105" s="203">
        <v>91872</v>
      </c>
      <c r="D105" s="232" t="s">
        <v>192</v>
      </c>
      <c r="E105" s="203" t="s">
        <v>0</v>
      </c>
      <c r="F105" s="234">
        <v>15</v>
      </c>
      <c r="G105" s="7"/>
      <c r="H105" s="189">
        <v>8.42</v>
      </c>
      <c r="I105" s="5"/>
      <c r="J105" s="11">
        <f t="shared" si="6"/>
        <v>126.3</v>
      </c>
      <c r="L105" s="8"/>
      <c r="M105" s="8"/>
      <c r="N105" s="188"/>
    </row>
    <row r="106" spans="1:14" ht="26.25" customHeight="1">
      <c r="A106" s="203">
        <f t="shared" si="7"/>
        <v>7.129999999999997</v>
      </c>
      <c r="B106" s="203" t="s">
        <v>26</v>
      </c>
      <c r="C106" s="203">
        <v>91885</v>
      </c>
      <c r="D106" s="232" t="s">
        <v>193</v>
      </c>
      <c r="E106" s="203" t="s">
        <v>11</v>
      </c>
      <c r="F106" s="234">
        <v>8</v>
      </c>
      <c r="G106" s="7"/>
      <c r="H106" s="189">
        <v>6.36</v>
      </c>
      <c r="I106" s="5"/>
      <c r="J106" s="11">
        <f t="shared" si="6"/>
        <v>50.88</v>
      </c>
      <c r="L106" s="8"/>
      <c r="M106" s="8"/>
      <c r="N106" s="188"/>
    </row>
    <row r="107" spans="1:14" ht="25.5">
      <c r="A107" s="203">
        <f t="shared" si="7"/>
        <v>7.139999999999997</v>
      </c>
      <c r="B107" s="203" t="s">
        <v>26</v>
      </c>
      <c r="C107" s="203">
        <v>91893</v>
      </c>
      <c r="D107" s="232" t="s">
        <v>166</v>
      </c>
      <c r="E107" s="203" t="s">
        <v>11</v>
      </c>
      <c r="F107" s="234">
        <v>3</v>
      </c>
      <c r="G107" s="7"/>
      <c r="H107" s="189">
        <v>8.39</v>
      </c>
      <c r="I107" s="5"/>
      <c r="J107" s="11">
        <f t="shared" si="6"/>
        <v>25.17</v>
      </c>
      <c r="L107" s="8"/>
      <c r="M107" s="8"/>
      <c r="N107" s="188"/>
    </row>
    <row r="108" spans="1:14" ht="15.75" customHeight="1">
      <c r="A108" s="203">
        <f t="shared" si="7"/>
        <v>7.149999999999997</v>
      </c>
      <c r="B108" s="203" t="s">
        <v>26</v>
      </c>
      <c r="C108" s="203">
        <v>83399</v>
      </c>
      <c r="D108" s="232" t="s">
        <v>160</v>
      </c>
      <c r="E108" s="203" t="s">
        <v>11</v>
      </c>
      <c r="F108" s="234">
        <v>2</v>
      </c>
      <c r="G108" s="7"/>
      <c r="H108" s="189">
        <v>34.54</v>
      </c>
      <c r="I108" s="5"/>
      <c r="J108" s="11">
        <f t="shared" si="6"/>
        <v>69.08</v>
      </c>
      <c r="L108" s="8"/>
      <c r="M108" s="8"/>
      <c r="N108" s="188"/>
    </row>
    <row r="109" spans="1:14" ht="25.5">
      <c r="A109" s="203">
        <f t="shared" si="7"/>
        <v>7.159999999999997</v>
      </c>
      <c r="B109" s="203" t="s">
        <v>26</v>
      </c>
      <c r="C109" s="203">
        <v>91929</v>
      </c>
      <c r="D109" s="232" t="s">
        <v>194</v>
      </c>
      <c r="E109" s="203" t="s">
        <v>0</v>
      </c>
      <c r="F109" s="234">
        <v>85</v>
      </c>
      <c r="G109" s="7"/>
      <c r="H109" s="189">
        <v>4.9</v>
      </c>
      <c r="I109" s="5"/>
      <c r="J109" s="11">
        <f t="shared" si="6"/>
        <v>416.50000000000006</v>
      </c>
      <c r="L109" s="8"/>
      <c r="M109" s="8"/>
      <c r="N109" s="188"/>
    </row>
    <row r="110" spans="1:14" ht="25.5">
      <c r="A110" s="203">
        <f t="shared" si="7"/>
        <v>7.169999999999996</v>
      </c>
      <c r="B110" s="203" t="s">
        <v>26</v>
      </c>
      <c r="C110" s="203">
        <v>91929</v>
      </c>
      <c r="D110" s="232" t="s">
        <v>195</v>
      </c>
      <c r="E110" s="203" t="s">
        <v>0</v>
      </c>
      <c r="F110" s="234">
        <v>85</v>
      </c>
      <c r="G110" s="7"/>
      <c r="H110" s="189">
        <v>4.9</v>
      </c>
      <c r="I110" s="5"/>
      <c r="J110" s="11">
        <f t="shared" si="6"/>
        <v>416.50000000000006</v>
      </c>
      <c r="L110" s="8"/>
      <c r="M110" s="8"/>
      <c r="N110" s="188"/>
    </row>
    <row r="111" spans="1:14" ht="25.5">
      <c r="A111" s="203">
        <f t="shared" si="7"/>
        <v>7.179999999999996</v>
      </c>
      <c r="B111" s="203" t="s">
        <v>26</v>
      </c>
      <c r="C111" s="203">
        <v>91929</v>
      </c>
      <c r="D111" s="232" t="s">
        <v>196</v>
      </c>
      <c r="E111" s="203" t="s">
        <v>0</v>
      </c>
      <c r="F111" s="234">
        <v>65</v>
      </c>
      <c r="G111" s="7"/>
      <c r="H111" s="189">
        <v>4.9</v>
      </c>
      <c r="I111" s="5"/>
      <c r="J111" s="11">
        <f t="shared" si="6"/>
        <v>318.5</v>
      </c>
      <c r="L111" s="8"/>
      <c r="M111" s="8"/>
      <c r="N111" s="188"/>
    </row>
    <row r="112" spans="1:14" ht="25.5">
      <c r="A112" s="203">
        <f t="shared" si="7"/>
        <v>7.189999999999996</v>
      </c>
      <c r="B112" s="203" t="s">
        <v>26</v>
      </c>
      <c r="C112" s="203">
        <v>72271</v>
      </c>
      <c r="D112" s="232" t="s">
        <v>165</v>
      </c>
      <c r="E112" s="203" t="s">
        <v>11</v>
      </c>
      <c r="F112" s="234">
        <v>4</v>
      </c>
      <c r="G112" s="7"/>
      <c r="H112" s="189">
        <v>8.91</v>
      </c>
      <c r="I112" s="5"/>
      <c r="J112" s="11">
        <f t="shared" si="6"/>
        <v>35.64</v>
      </c>
      <c r="L112" s="8"/>
      <c r="M112" s="8"/>
      <c r="N112" s="188"/>
    </row>
    <row r="113" spans="1:14" ht="12.75">
      <c r="A113" s="203">
        <f t="shared" si="7"/>
        <v>7.199999999999996</v>
      </c>
      <c r="B113" s="203" t="s">
        <v>26</v>
      </c>
      <c r="C113" s="203">
        <v>72281</v>
      </c>
      <c r="D113" s="232" t="s">
        <v>164</v>
      </c>
      <c r="E113" s="203" t="s">
        <v>11</v>
      </c>
      <c r="F113" s="234">
        <v>4</v>
      </c>
      <c r="G113" s="7"/>
      <c r="H113" s="189">
        <v>83.51</v>
      </c>
      <c r="I113" s="5"/>
      <c r="J113" s="11">
        <f t="shared" si="6"/>
        <v>334.04</v>
      </c>
      <c r="L113" s="8"/>
      <c r="M113" s="8"/>
      <c r="N113" s="188"/>
    </row>
    <row r="114" spans="1:14" ht="12.75">
      <c r="A114" s="183"/>
      <c r="B114" s="183"/>
      <c r="C114" s="183"/>
      <c r="E114" s="183"/>
      <c r="F114" s="7"/>
      <c r="G114" s="7"/>
      <c r="H114" s="12" t="s">
        <v>12</v>
      </c>
      <c r="I114" s="7"/>
      <c r="J114" s="12">
        <f>SUM(J94:J113)</f>
        <v>5259.710000000001</v>
      </c>
      <c r="N114" s="188"/>
    </row>
    <row r="115" spans="1:14" ht="12.75">
      <c r="A115" s="183"/>
      <c r="B115" s="183"/>
      <c r="C115" s="183"/>
      <c r="E115" s="183"/>
      <c r="F115" s="7"/>
      <c r="G115" s="7"/>
      <c r="H115" s="7"/>
      <c r="I115" s="7"/>
      <c r="J115" s="7"/>
      <c r="N115" s="188"/>
    </row>
    <row r="116" spans="1:14" ht="12.75">
      <c r="A116" s="30">
        <v>8</v>
      </c>
      <c r="B116" s="198"/>
      <c r="C116" s="198"/>
      <c r="D116" s="29" t="s">
        <v>15</v>
      </c>
      <c r="E116" s="198"/>
      <c r="F116" s="13" t="s">
        <v>3</v>
      </c>
      <c r="G116" s="7"/>
      <c r="H116" s="281" t="s">
        <v>4</v>
      </c>
      <c r="I116" s="5"/>
      <c r="J116" s="281" t="s">
        <v>5</v>
      </c>
      <c r="N116" s="188"/>
    </row>
    <row r="117" spans="1:14" ht="12.75">
      <c r="A117" s="198"/>
      <c r="B117" s="198"/>
      <c r="C117" s="198"/>
      <c r="D117" s="1"/>
      <c r="E117" s="198"/>
      <c r="F117" s="199"/>
      <c r="G117" s="7"/>
      <c r="H117" s="288"/>
      <c r="I117" s="5"/>
      <c r="J117" s="288"/>
      <c r="N117" s="188"/>
    </row>
    <row r="118" spans="1:14" ht="12.75">
      <c r="A118" s="2">
        <f>A116+0.01</f>
        <v>8.01</v>
      </c>
      <c r="B118" s="195" t="s">
        <v>26</v>
      </c>
      <c r="C118" s="195">
        <v>79472</v>
      </c>
      <c r="D118" s="1" t="s">
        <v>31</v>
      </c>
      <c r="E118" s="2" t="s">
        <v>10</v>
      </c>
      <c r="F118" s="6">
        <v>1304.95</v>
      </c>
      <c r="G118" s="7"/>
      <c r="H118" s="189">
        <v>0.52</v>
      </c>
      <c r="I118" s="5"/>
      <c r="J118" s="6">
        <f>H118*F118</f>
        <v>678.5740000000001</v>
      </c>
      <c r="M118" s="8"/>
      <c r="N118" s="188">
        <v>0.41400000000000003</v>
      </c>
    </row>
    <row r="119" spans="1:14" ht="25.5">
      <c r="A119" s="197">
        <f>A118+0.01</f>
        <v>8.02</v>
      </c>
      <c r="B119" s="203" t="s">
        <v>26</v>
      </c>
      <c r="C119" s="203">
        <v>92396</v>
      </c>
      <c r="D119" s="47" t="s">
        <v>140</v>
      </c>
      <c r="E119" s="197" t="s">
        <v>10</v>
      </c>
      <c r="F119" s="196">
        <v>402.64</v>
      </c>
      <c r="G119" s="7"/>
      <c r="H119" s="189">
        <v>56.23</v>
      </c>
      <c r="I119" s="7"/>
      <c r="J119" s="196">
        <f>H119*F119</f>
        <v>22640.4472</v>
      </c>
      <c r="L119" s="8"/>
      <c r="M119" s="8"/>
      <c r="N119" s="188">
        <v>26.433</v>
      </c>
    </row>
    <row r="120" spans="1:14" ht="25.5">
      <c r="A120" s="195">
        <f>A119+0.01</f>
        <v>8.03</v>
      </c>
      <c r="B120" s="195" t="s">
        <v>26</v>
      </c>
      <c r="C120" s="195" t="s">
        <v>111</v>
      </c>
      <c r="D120" s="47" t="s">
        <v>188</v>
      </c>
      <c r="E120" s="195" t="s">
        <v>0</v>
      </c>
      <c r="F120" s="200">
        <v>196</v>
      </c>
      <c r="G120" s="7"/>
      <c r="H120" s="189">
        <v>55.17</v>
      </c>
      <c r="I120" s="7"/>
      <c r="J120" s="194">
        <f>F120*H120</f>
        <v>10813.32</v>
      </c>
      <c r="M120" s="8"/>
      <c r="N120" s="188">
        <v>26.433</v>
      </c>
    </row>
    <row r="121" spans="1:14" ht="12.75">
      <c r="A121" s="197">
        <f>A120+0.01</f>
        <v>8.04</v>
      </c>
      <c r="B121" s="197" t="s">
        <v>26</v>
      </c>
      <c r="C121" s="197">
        <v>72132</v>
      </c>
      <c r="D121" s="1" t="s">
        <v>116</v>
      </c>
      <c r="E121" s="197" t="s">
        <v>10</v>
      </c>
      <c r="F121" s="196">
        <v>2.88</v>
      </c>
      <c r="G121" s="7"/>
      <c r="H121" s="189">
        <v>51.43</v>
      </c>
      <c r="I121" s="7"/>
      <c r="J121" s="196">
        <f>H121*F121</f>
        <v>148.11839999999998</v>
      </c>
      <c r="L121" s="8"/>
      <c r="M121" s="8"/>
      <c r="N121" s="188">
        <v>54.495</v>
      </c>
    </row>
    <row r="122" spans="1:14" ht="12.75">
      <c r="A122" s="203">
        <f>A119+0.01</f>
        <v>8.03</v>
      </c>
      <c r="B122" s="203" t="s">
        <v>26</v>
      </c>
      <c r="C122" s="203" t="s">
        <v>114</v>
      </c>
      <c r="D122" s="1" t="s">
        <v>115</v>
      </c>
      <c r="E122" s="203" t="s">
        <v>113</v>
      </c>
      <c r="F122" s="218">
        <v>1.28</v>
      </c>
      <c r="G122" s="7"/>
      <c r="H122" s="189">
        <v>326.1</v>
      </c>
      <c r="I122" s="7"/>
      <c r="J122" s="218">
        <f>H122*F122</f>
        <v>417.408</v>
      </c>
      <c r="L122" s="8"/>
      <c r="M122" s="8"/>
      <c r="N122" s="188">
        <v>54.495</v>
      </c>
    </row>
    <row r="123" spans="1:14" ht="25.5">
      <c r="A123" s="203">
        <f>A122+0.01</f>
        <v>8.04</v>
      </c>
      <c r="B123" s="203" t="s">
        <v>26</v>
      </c>
      <c r="C123" s="203">
        <v>75481</v>
      </c>
      <c r="D123" s="1" t="s">
        <v>141</v>
      </c>
      <c r="E123" s="203" t="s">
        <v>10</v>
      </c>
      <c r="F123" s="219">
        <f>1.71*4</f>
        <v>6.84</v>
      </c>
      <c r="G123" s="7"/>
      <c r="H123" s="189">
        <v>14.01</v>
      </c>
      <c r="I123" s="7"/>
      <c r="J123" s="219">
        <f>H123*F123</f>
        <v>95.8284</v>
      </c>
      <c r="L123" s="8"/>
      <c r="M123" s="8"/>
      <c r="N123" s="188"/>
    </row>
    <row r="124" spans="1:14" ht="14.25" customHeight="1">
      <c r="A124" s="203">
        <f>A123+0.01</f>
        <v>8.049999999999999</v>
      </c>
      <c r="B124" s="203" t="s">
        <v>26</v>
      </c>
      <c r="C124" s="203" t="s">
        <v>142</v>
      </c>
      <c r="D124" s="1" t="s">
        <v>143</v>
      </c>
      <c r="E124" s="203" t="s">
        <v>10</v>
      </c>
      <c r="F124" s="219">
        <f>5.79*4</f>
        <v>23.16</v>
      </c>
      <c r="G124" s="7"/>
      <c r="H124" s="189">
        <v>10.12</v>
      </c>
      <c r="I124" s="7"/>
      <c r="J124" s="219">
        <f>H124*F124</f>
        <v>234.3792</v>
      </c>
      <c r="L124" s="8"/>
      <c r="M124" s="8"/>
      <c r="N124" s="188"/>
    </row>
    <row r="125" spans="6:14" ht="12.75">
      <c r="F125" s="3"/>
      <c r="G125" s="3"/>
      <c r="H125" s="35" t="s">
        <v>12</v>
      </c>
      <c r="I125" s="7"/>
      <c r="J125" s="12">
        <f>SUM(J118:J124)</f>
        <v>35028.0752</v>
      </c>
      <c r="N125" s="188"/>
    </row>
    <row r="126" spans="1:14" ht="12.75">
      <c r="A126" s="38"/>
      <c r="C126" s="38"/>
      <c r="E126" s="38"/>
      <c r="F126" s="7"/>
      <c r="G126" s="7"/>
      <c r="H126" s="7"/>
      <c r="I126" s="7"/>
      <c r="J126" s="7"/>
      <c r="N126" s="188"/>
    </row>
    <row r="127" spans="1:14" ht="12.75">
      <c r="A127" s="30">
        <v>9</v>
      </c>
      <c r="B127" s="2"/>
      <c r="C127" s="2"/>
      <c r="D127" s="29" t="s">
        <v>24</v>
      </c>
      <c r="E127" s="2"/>
      <c r="F127" s="13" t="s">
        <v>3</v>
      </c>
      <c r="G127" s="7"/>
      <c r="H127" s="277" t="s">
        <v>4</v>
      </c>
      <c r="I127" s="5"/>
      <c r="J127" s="277" t="s">
        <v>5</v>
      </c>
      <c r="N127" s="188"/>
    </row>
    <row r="128" spans="1:14" ht="12.75">
      <c r="A128" s="2"/>
      <c r="B128" s="2"/>
      <c r="C128" s="2"/>
      <c r="D128" s="1"/>
      <c r="E128" s="2"/>
      <c r="F128" s="6"/>
      <c r="G128" s="7"/>
      <c r="H128" s="277"/>
      <c r="I128" s="5"/>
      <c r="J128" s="281"/>
      <c r="N128" s="188"/>
    </row>
    <row r="129" spans="1:14" ht="12.75">
      <c r="A129" s="2">
        <f>A127+0.01</f>
        <v>9.01</v>
      </c>
      <c r="B129" s="203" t="s">
        <v>198</v>
      </c>
      <c r="C129" s="203">
        <v>270210</v>
      </c>
      <c r="D129" s="1" t="s">
        <v>120</v>
      </c>
      <c r="E129" s="2" t="s">
        <v>10</v>
      </c>
      <c r="F129" s="6">
        <v>883.17</v>
      </c>
      <c r="G129" s="7"/>
      <c r="H129" s="189">
        <v>10.25</v>
      </c>
      <c r="I129" s="7"/>
      <c r="J129" s="6">
        <f>H129*F129</f>
        <v>9052.4925</v>
      </c>
      <c r="M129" s="8"/>
      <c r="N129" s="188">
        <v>7.713</v>
      </c>
    </row>
    <row r="130" spans="6:14" ht="12.75">
      <c r="F130" s="3"/>
      <c r="G130" s="3"/>
      <c r="H130" s="35" t="s">
        <v>12</v>
      </c>
      <c r="I130" s="7"/>
      <c r="J130" s="12">
        <f>SUM(J129:J129)</f>
        <v>9052.4925</v>
      </c>
      <c r="N130" s="188"/>
    </row>
    <row r="131" spans="2:14" ht="7.5" customHeight="1">
      <c r="B131" s="40"/>
      <c r="F131" s="3"/>
      <c r="G131" s="3"/>
      <c r="H131" s="41"/>
      <c r="I131" s="7"/>
      <c r="J131" s="7"/>
      <c r="N131" s="188"/>
    </row>
    <row r="132" spans="2:14" ht="12.75">
      <c r="B132" s="42"/>
      <c r="F132" s="3"/>
      <c r="G132" s="3"/>
      <c r="H132" s="48" t="s">
        <v>12</v>
      </c>
      <c r="I132" s="7"/>
      <c r="J132" s="49">
        <f>J114+J125+J130</f>
        <v>49340.2777</v>
      </c>
      <c r="N132" s="188"/>
    </row>
    <row r="133" spans="1:14" ht="17.25" customHeight="1">
      <c r="A133" s="289" t="s">
        <v>158</v>
      </c>
      <c r="B133" s="289"/>
      <c r="C133" s="38"/>
      <c r="F133" s="3"/>
      <c r="G133" s="3"/>
      <c r="H133" s="39"/>
      <c r="I133" s="7"/>
      <c r="J133" s="7"/>
      <c r="N133" s="188"/>
    </row>
    <row r="134" spans="1:14" ht="12.75">
      <c r="A134" s="30">
        <v>10</v>
      </c>
      <c r="B134" s="193"/>
      <c r="C134" s="2"/>
      <c r="D134" s="29" t="s">
        <v>14</v>
      </c>
      <c r="E134" s="2"/>
      <c r="F134" s="13" t="s">
        <v>3</v>
      </c>
      <c r="G134" s="7"/>
      <c r="H134" s="277" t="s">
        <v>4</v>
      </c>
      <c r="I134" s="5"/>
      <c r="J134" s="277" t="s">
        <v>5</v>
      </c>
      <c r="N134" s="188"/>
    </row>
    <row r="135" spans="1:14" ht="12.75">
      <c r="A135" s="2"/>
      <c r="B135" s="2"/>
      <c r="C135" s="2"/>
      <c r="D135" s="1"/>
      <c r="E135" s="2"/>
      <c r="F135" s="6"/>
      <c r="G135" s="7"/>
      <c r="H135" s="277"/>
      <c r="I135" s="5"/>
      <c r="J135" s="277"/>
      <c r="N135" s="188"/>
    </row>
    <row r="136" spans="1:14" ht="29.25" customHeight="1">
      <c r="A136" s="203">
        <f>A134+0.01</f>
        <v>10.01</v>
      </c>
      <c r="B136" s="203" t="s">
        <v>26</v>
      </c>
      <c r="C136" s="203">
        <v>9540</v>
      </c>
      <c r="D136" s="233" t="s">
        <v>167</v>
      </c>
      <c r="E136" s="203" t="s">
        <v>11</v>
      </c>
      <c r="F136" s="234">
        <v>1</v>
      </c>
      <c r="G136" s="7"/>
      <c r="H136" s="189">
        <v>788.36</v>
      </c>
      <c r="I136" s="5"/>
      <c r="J136" s="11">
        <f>H136*F136</f>
        <v>788.36</v>
      </c>
      <c r="L136" s="8"/>
      <c r="M136" s="8"/>
      <c r="N136" s="188"/>
    </row>
    <row r="137" spans="1:14" ht="25.5">
      <c r="A137" s="203">
        <f>A134+0.02</f>
        <v>10.02</v>
      </c>
      <c r="B137" s="203" t="s">
        <v>26</v>
      </c>
      <c r="C137" s="203" t="s">
        <v>123</v>
      </c>
      <c r="D137" s="232" t="s">
        <v>163</v>
      </c>
      <c r="E137" s="203" t="s">
        <v>11</v>
      </c>
      <c r="F137" s="234">
        <v>2</v>
      </c>
      <c r="G137" s="7"/>
      <c r="H137" s="189">
        <v>11.8</v>
      </c>
      <c r="I137" s="5"/>
      <c r="J137" s="11">
        <f>H137*F137</f>
        <v>23.6</v>
      </c>
      <c r="L137" s="8"/>
      <c r="M137" s="8"/>
      <c r="N137" s="188"/>
    </row>
    <row r="138" spans="1:14" ht="25.5">
      <c r="A138" s="203">
        <f>A137+0.01</f>
        <v>10.03</v>
      </c>
      <c r="B138" s="203" t="s">
        <v>26</v>
      </c>
      <c r="C138" s="203" t="s">
        <v>161</v>
      </c>
      <c r="D138" s="232" t="s">
        <v>162</v>
      </c>
      <c r="E138" s="203" t="s">
        <v>11</v>
      </c>
      <c r="F138" s="234">
        <v>1</v>
      </c>
      <c r="G138" s="7"/>
      <c r="H138" s="189">
        <v>18.51</v>
      </c>
      <c r="I138" s="5"/>
      <c r="J138" s="11">
        <f aca="true" t="shared" si="8" ref="J138:J155">H138*F138</f>
        <v>18.51</v>
      </c>
      <c r="L138" s="8"/>
      <c r="M138" s="8"/>
      <c r="N138" s="188"/>
    </row>
    <row r="139" spans="1:14" ht="25.5">
      <c r="A139" s="203">
        <f>A138+0.01</f>
        <v>10.04</v>
      </c>
      <c r="B139" s="203" t="s">
        <v>26</v>
      </c>
      <c r="C139" s="203">
        <v>84402</v>
      </c>
      <c r="D139" s="232" t="s">
        <v>189</v>
      </c>
      <c r="E139" s="203" t="s">
        <v>11</v>
      </c>
      <c r="F139" s="234">
        <v>1</v>
      </c>
      <c r="G139" s="7"/>
      <c r="H139" s="189">
        <v>43.95</v>
      </c>
      <c r="I139" s="5"/>
      <c r="J139" s="11">
        <f t="shared" si="8"/>
        <v>43.95</v>
      </c>
      <c r="L139" s="8"/>
      <c r="M139" s="8"/>
      <c r="N139" s="188"/>
    </row>
    <row r="140" spans="1:14" ht="12.75">
      <c r="A140" s="203">
        <f aca="true" t="shared" si="9" ref="A140:A155">A139+0.01</f>
        <v>10.049999999999999</v>
      </c>
      <c r="B140" s="203" t="s">
        <v>26</v>
      </c>
      <c r="C140" s="203">
        <v>68069</v>
      </c>
      <c r="D140" s="1" t="s">
        <v>124</v>
      </c>
      <c r="E140" s="203" t="s">
        <v>11</v>
      </c>
      <c r="F140" s="234">
        <v>3</v>
      </c>
      <c r="G140" s="7"/>
      <c r="H140" s="189">
        <v>43.06</v>
      </c>
      <c r="I140" s="5"/>
      <c r="J140" s="11">
        <f t="shared" si="8"/>
        <v>129.18</v>
      </c>
      <c r="L140" s="8"/>
      <c r="M140" s="8"/>
      <c r="N140" s="188"/>
    </row>
    <row r="141" spans="1:14" ht="41.25" customHeight="1">
      <c r="A141" s="203">
        <f t="shared" si="9"/>
        <v>10.059999999999999</v>
      </c>
      <c r="B141" s="203" t="s">
        <v>26</v>
      </c>
      <c r="C141" s="203" t="s">
        <v>149</v>
      </c>
      <c r="D141" s="232" t="s">
        <v>150</v>
      </c>
      <c r="E141" s="203" t="s">
        <v>11</v>
      </c>
      <c r="F141" s="234">
        <v>4</v>
      </c>
      <c r="G141" s="7"/>
      <c r="H141" s="189">
        <v>101.16</v>
      </c>
      <c r="I141" s="5"/>
      <c r="J141" s="11">
        <f t="shared" si="8"/>
        <v>404.64</v>
      </c>
      <c r="L141" s="8"/>
      <c r="M141" s="8"/>
      <c r="N141" s="188"/>
    </row>
    <row r="142" spans="1:14" ht="12.75">
      <c r="A142" s="203">
        <f t="shared" si="9"/>
        <v>10.069999999999999</v>
      </c>
      <c r="B142" s="203" t="s">
        <v>26</v>
      </c>
      <c r="C142" s="203" t="s">
        <v>105</v>
      </c>
      <c r="D142" s="1" t="s">
        <v>106</v>
      </c>
      <c r="E142" s="203" t="s">
        <v>11</v>
      </c>
      <c r="F142" s="234">
        <v>4</v>
      </c>
      <c r="G142" s="7"/>
      <c r="H142" s="189">
        <v>46.01</v>
      </c>
      <c r="I142" s="5"/>
      <c r="J142" s="11">
        <f t="shared" si="8"/>
        <v>184.04</v>
      </c>
      <c r="L142" s="8"/>
      <c r="M142" s="8"/>
      <c r="N142" s="188"/>
    </row>
    <row r="143" spans="1:14" ht="25.5">
      <c r="A143" s="203">
        <f t="shared" si="9"/>
        <v>10.079999999999998</v>
      </c>
      <c r="B143" s="203" t="s">
        <v>26</v>
      </c>
      <c r="C143" s="203" t="s">
        <v>121</v>
      </c>
      <c r="D143" s="1" t="s">
        <v>122</v>
      </c>
      <c r="E143" s="203" t="s">
        <v>11</v>
      </c>
      <c r="F143" s="234">
        <v>2</v>
      </c>
      <c r="G143" s="7"/>
      <c r="H143" s="189">
        <v>530.9</v>
      </c>
      <c r="I143" s="5"/>
      <c r="J143" s="11">
        <f t="shared" si="8"/>
        <v>1061.8</v>
      </c>
      <c r="L143" s="8"/>
      <c r="M143" s="8"/>
      <c r="N143" s="188"/>
    </row>
    <row r="144" spans="1:14" ht="12.75">
      <c r="A144" s="203">
        <f t="shared" si="9"/>
        <v>10.089999999999998</v>
      </c>
      <c r="B144" s="203" t="s">
        <v>26</v>
      </c>
      <c r="C144" s="203">
        <v>83447</v>
      </c>
      <c r="D144" s="1" t="s">
        <v>104</v>
      </c>
      <c r="E144" s="203" t="s">
        <v>11</v>
      </c>
      <c r="F144" s="234">
        <v>3</v>
      </c>
      <c r="G144" s="7"/>
      <c r="H144" s="189">
        <v>130.96</v>
      </c>
      <c r="I144" s="5"/>
      <c r="J144" s="11">
        <f t="shared" si="8"/>
        <v>392.88</v>
      </c>
      <c r="L144" s="8"/>
      <c r="M144" s="8"/>
      <c r="N144" s="188"/>
    </row>
    <row r="145" spans="1:14" ht="12.75">
      <c r="A145" s="203">
        <f t="shared" si="9"/>
        <v>10.099999999999998</v>
      </c>
      <c r="B145" s="203" t="s">
        <v>26</v>
      </c>
      <c r="C145" s="203">
        <v>72250</v>
      </c>
      <c r="D145" s="232" t="s">
        <v>197</v>
      </c>
      <c r="E145" s="203" t="s">
        <v>0</v>
      </c>
      <c r="F145" s="234">
        <v>10</v>
      </c>
      <c r="G145" s="7"/>
      <c r="H145" s="189">
        <v>6.62</v>
      </c>
      <c r="I145" s="5"/>
      <c r="J145" s="11">
        <f t="shared" si="8"/>
        <v>66.2</v>
      </c>
      <c r="L145" s="8"/>
      <c r="M145" s="8"/>
      <c r="N145" s="188"/>
    </row>
    <row r="146" spans="1:14" ht="25.5">
      <c r="A146" s="203">
        <f t="shared" si="9"/>
        <v>10.109999999999998</v>
      </c>
      <c r="B146" s="203" t="s">
        <v>26</v>
      </c>
      <c r="C146" s="203">
        <v>91856</v>
      </c>
      <c r="D146" s="232" t="s">
        <v>191</v>
      </c>
      <c r="E146" s="203" t="s">
        <v>0</v>
      </c>
      <c r="F146" s="234">
        <v>48</v>
      </c>
      <c r="G146" s="7"/>
      <c r="H146" s="189">
        <v>6.94</v>
      </c>
      <c r="I146" s="5"/>
      <c r="J146" s="11">
        <f t="shared" si="8"/>
        <v>333.12</v>
      </c>
      <c r="L146" s="8"/>
      <c r="M146" s="8"/>
      <c r="N146" s="188"/>
    </row>
    <row r="147" spans="1:14" ht="25.5">
      <c r="A147" s="203">
        <f t="shared" si="9"/>
        <v>10.119999999999997</v>
      </c>
      <c r="B147" s="203" t="s">
        <v>26</v>
      </c>
      <c r="C147" s="203">
        <v>91872</v>
      </c>
      <c r="D147" s="232" t="s">
        <v>192</v>
      </c>
      <c r="E147" s="203" t="s">
        <v>0</v>
      </c>
      <c r="F147" s="234">
        <v>15</v>
      </c>
      <c r="G147" s="7"/>
      <c r="H147" s="189">
        <v>8.42</v>
      </c>
      <c r="I147" s="5"/>
      <c r="J147" s="11">
        <f t="shared" si="8"/>
        <v>126.3</v>
      </c>
      <c r="L147" s="8"/>
      <c r="M147" s="8"/>
      <c r="N147" s="188"/>
    </row>
    <row r="148" spans="1:14" ht="25.5">
      <c r="A148" s="203">
        <f t="shared" si="9"/>
        <v>10.129999999999997</v>
      </c>
      <c r="B148" s="203" t="s">
        <v>26</v>
      </c>
      <c r="C148" s="203">
        <v>91885</v>
      </c>
      <c r="D148" s="232" t="s">
        <v>193</v>
      </c>
      <c r="E148" s="203" t="s">
        <v>11</v>
      </c>
      <c r="F148" s="234">
        <v>8</v>
      </c>
      <c r="G148" s="7"/>
      <c r="H148" s="189">
        <v>6.36</v>
      </c>
      <c r="I148" s="5"/>
      <c r="J148" s="11">
        <f t="shared" si="8"/>
        <v>50.88</v>
      </c>
      <c r="L148" s="8"/>
      <c r="M148" s="8"/>
      <c r="N148" s="188"/>
    </row>
    <row r="149" spans="1:14" ht="25.5">
      <c r="A149" s="203">
        <f t="shared" si="9"/>
        <v>10.139999999999997</v>
      </c>
      <c r="B149" s="203" t="s">
        <v>26</v>
      </c>
      <c r="C149" s="203">
        <v>91893</v>
      </c>
      <c r="D149" s="232" t="s">
        <v>166</v>
      </c>
      <c r="E149" s="203" t="s">
        <v>11</v>
      </c>
      <c r="F149" s="234">
        <v>3</v>
      </c>
      <c r="G149" s="7"/>
      <c r="H149" s="189">
        <v>8.39</v>
      </c>
      <c r="I149" s="5"/>
      <c r="J149" s="11">
        <f t="shared" si="8"/>
        <v>25.17</v>
      </c>
      <c r="L149" s="8"/>
      <c r="M149" s="8"/>
      <c r="N149" s="188"/>
    </row>
    <row r="150" spans="1:14" ht="16.5" customHeight="1">
      <c r="A150" s="203">
        <f t="shared" si="9"/>
        <v>10.149999999999997</v>
      </c>
      <c r="B150" s="203" t="s">
        <v>26</v>
      </c>
      <c r="C150" s="203">
        <v>83399</v>
      </c>
      <c r="D150" s="232" t="s">
        <v>160</v>
      </c>
      <c r="E150" s="203" t="s">
        <v>11</v>
      </c>
      <c r="F150" s="234">
        <v>2</v>
      </c>
      <c r="G150" s="7"/>
      <c r="H150" s="189">
        <v>34.54</v>
      </c>
      <c r="I150" s="5"/>
      <c r="J150" s="11">
        <f t="shared" si="8"/>
        <v>69.08</v>
      </c>
      <c r="L150" s="8"/>
      <c r="M150" s="8"/>
      <c r="N150" s="188"/>
    </row>
    <row r="151" spans="1:14" ht="25.5">
      <c r="A151" s="203">
        <f t="shared" si="9"/>
        <v>10.159999999999997</v>
      </c>
      <c r="B151" s="203" t="s">
        <v>26</v>
      </c>
      <c r="C151" s="203">
        <v>91929</v>
      </c>
      <c r="D151" s="232" t="s">
        <v>194</v>
      </c>
      <c r="E151" s="203" t="s">
        <v>0</v>
      </c>
      <c r="F151" s="234">
        <v>105</v>
      </c>
      <c r="G151" s="7"/>
      <c r="H151" s="189">
        <v>4.9</v>
      </c>
      <c r="I151" s="5"/>
      <c r="J151" s="11">
        <f t="shared" si="8"/>
        <v>514.5</v>
      </c>
      <c r="L151" s="8"/>
      <c r="M151" s="8"/>
      <c r="N151" s="188"/>
    </row>
    <row r="152" spans="1:14" ht="25.5">
      <c r="A152" s="203">
        <f t="shared" si="9"/>
        <v>10.169999999999996</v>
      </c>
      <c r="B152" s="203" t="s">
        <v>26</v>
      </c>
      <c r="C152" s="203">
        <v>91929</v>
      </c>
      <c r="D152" s="232" t="s">
        <v>195</v>
      </c>
      <c r="E152" s="203" t="s">
        <v>0</v>
      </c>
      <c r="F152" s="234">
        <v>105</v>
      </c>
      <c r="G152" s="7"/>
      <c r="H152" s="189">
        <v>4.9</v>
      </c>
      <c r="I152" s="5"/>
      <c r="J152" s="11">
        <f t="shared" si="8"/>
        <v>514.5</v>
      </c>
      <c r="L152" s="8"/>
      <c r="M152" s="8"/>
      <c r="N152" s="188"/>
    </row>
    <row r="153" spans="1:14" ht="25.5">
      <c r="A153" s="203">
        <f t="shared" si="9"/>
        <v>10.179999999999996</v>
      </c>
      <c r="B153" s="203" t="s">
        <v>26</v>
      </c>
      <c r="C153" s="203">
        <v>91929</v>
      </c>
      <c r="D153" s="232" t="s">
        <v>196</v>
      </c>
      <c r="E153" s="203" t="s">
        <v>0</v>
      </c>
      <c r="F153" s="234">
        <v>60</v>
      </c>
      <c r="G153" s="7"/>
      <c r="H153" s="189">
        <v>4.9</v>
      </c>
      <c r="I153" s="5"/>
      <c r="J153" s="11">
        <f t="shared" si="8"/>
        <v>294</v>
      </c>
      <c r="L153" s="8"/>
      <c r="M153" s="8"/>
      <c r="N153" s="188"/>
    </row>
    <row r="154" spans="1:14" ht="25.5">
      <c r="A154" s="203">
        <f t="shared" si="9"/>
        <v>10.189999999999996</v>
      </c>
      <c r="B154" s="203" t="s">
        <v>26</v>
      </c>
      <c r="C154" s="203">
        <v>72271</v>
      </c>
      <c r="D154" s="232" t="s">
        <v>165</v>
      </c>
      <c r="E154" s="203" t="s">
        <v>11</v>
      </c>
      <c r="F154" s="234">
        <v>3</v>
      </c>
      <c r="G154" s="7"/>
      <c r="H154" s="189">
        <v>8.91</v>
      </c>
      <c r="I154" s="5"/>
      <c r="J154" s="11">
        <f t="shared" si="8"/>
        <v>26.73</v>
      </c>
      <c r="L154" s="8"/>
      <c r="M154" s="8"/>
      <c r="N154" s="188"/>
    </row>
    <row r="155" spans="1:14" ht="12.75">
      <c r="A155" s="203">
        <f t="shared" si="9"/>
        <v>10.199999999999996</v>
      </c>
      <c r="B155" s="203" t="s">
        <v>26</v>
      </c>
      <c r="C155" s="203">
        <v>72281</v>
      </c>
      <c r="D155" s="232" t="s">
        <v>164</v>
      </c>
      <c r="E155" s="203" t="s">
        <v>11</v>
      </c>
      <c r="F155" s="234">
        <v>4</v>
      </c>
      <c r="G155" s="7"/>
      <c r="H155" s="189">
        <v>83.51</v>
      </c>
      <c r="I155" s="5"/>
      <c r="J155" s="11">
        <f t="shared" si="8"/>
        <v>334.04</v>
      </c>
      <c r="L155" s="8"/>
      <c r="M155" s="8"/>
      <c r="N155" s="188"/>
    </row>
    <row r="156" spans="1:14" ht="12.75">
      <c r="A156" s="38"/>
      <c r="C156" s="38"/>
      <c r="E156" s="38"/>
      <c r="F156" s="7"/>
      <c r="G156" s="7"/>
      <c r="H156" s="12" t="s">
        <v>12</v>
      </c>
      <c r="I156" s="7"/>
      <c r="J156" s="12">
        <f>SUM(J136:J155)</f>
        <v>5401.48</v>
      </c>
      <c r="N156" s="188"/>
    </row>
    <row r="157" spans="1:14" ht="12.75">
      <c r="A157" s="38"/>
      <c r="C157" s="38"/>
      <c r="E157" s="38"/>
      <c r="F157" s="7"/>
      <c r="G157" s="7"/>
      <c r="H157" s="7"/>
      <c r="I157" s="7"/>
      <c r="J157" s="7"/>
      <c r="N157" s="188"/>
    </row>
    <row r="158" spans="1:14" ht="12.75">
      <c r="A158" s="30">
        <v>11</v>
      </c>
      <c r="B158" s="2"/>
      <c r="C158" s="2"/>
      <c r="D158" s="29" t="s">
        <v>15</v>
      </c>
      <c r="E158" s="2"/>
      <c r="F158" s="13" t="s">
        <v>3</v>
      </c>
      <c r="G158" s="7"/>
      <c r="H158" s="277" t="s">
        <v>4</v>
      </c>
      <c r="I158" s="5"/>
      <c r="J158" s="277" t="s">
        <v>5</v>
      </c>
      <c r="N158" s="188"/>
    </row>
    <row r="159" spans="1:14" ht="12.75">
      <c r="A159" s="2"/>
      <c r="B159" s="2"/>
      <c r="C159" s="2"/>
      <c r="D159" s="1"/>
      <c r="E159" s="2"/>
      <c r="F159" s="6"/>
      <c r="G159" s="7"/>
      <c r="H159" s="277"/>
      <c r="I159" s="5"/>
      <c r="J159" s="277"/>
      <c r="N159" s="188"/>
    </row>
    <row r="160" spans="1:14" ht="12.75">
      <c r="A160" s="2">
        <f>A158+0.01</f>
        <v>11.01</v>
      </c>
      <c r="B160" s="195" t="s">
        <v>26</v>
      </c>
      <c r="C160" s="195">
        <v>79472</v>
      </c>
      <c r="D160" s="1" t="s">
        <v>31</v>
      </c>
      <c r="E160" s="2" t="s">
        <v>10</v>
      </c>
      <c r="F160" s="6">
        <v>2147.2</v>
      </c>
      <c r="G160" s="7"/>
      <c r="H160" s="189">
        <v>0.52</v>
      </c>
      <c r="I160" s="5"/>
      <c r="J160" s="6">
        <f>H160*F160</f>
        <v>1116.5439999999999</v>
      </c>
      <c r="M160" s="8"/>
      <c r="N160" s="188">
        <v>0.41400000000000003</v>
      </c>
    </row>
    <row r="161" spans="1:14" ht="25.5">
      <c r="A161" s="197">
        <f>A160+0.01</f>
        <v>11.02</v>
      </c>
      <c r="B161" s="203" t="s">
        <v>26</v>
      </c>
      <c r="C161" s="203">
        <v>92396</v>
      </c>
      <c r="D161" s="47" t="s">
        <v>140</v>
      </c>
      <c r="E161" s="197" t="s">
        <v>10</v>
      </c>
      <c r="F161" s="196">
        <v>415.36</v>
      </c>
      <c r="G161" s="7"/>
      <c r="H161" s="189">
        <v>56.23</v>
      </c>
      <c r="I161" s="7"/>
      <c r="J161" s="196">
        <f>H161*F161</f>
        <v>23355.6928</v>
      </c>
      <c r="L161" s="8"/>
      <c r="M161" s="8"/>
      <c r="N161" s="188">
        <v>26.433</v>
      </c>
    </row>
    <row r="162" spans="1:14" ht="25.5">
      <c r="A162" s="195">
        <f>A161+0.01</f>
        <v>11.03</v>
      </c>
      <c r="B162" s="195" t="s">
        <v>26</v>
      </c>
      <c r="C162" s="195" t="s">
        <v>111</v>
      </c>
      <c r="D162" s="47" t="s">
        <v>188</v>
      </c>
      <c r="E162" s="195" t="s">
        <v>0</v>
      </c>
      <c r="F162" s="200">
        <v>198.2</v>
      </c>
      <c r="G162" s="7"/>
      <c r="H162" s="189">
        <v>55.17</v>
      </c>
      <c r="I162" s="7"/>
      <c r="J162" s="194">
        <f>F162*H162</f>
        <v>10934.694</v>
      </c>
      <c r="M162" s="8"/>
      <c r="N162" s="188">
        <v>26.433</v>
      </c>
    </row>
    <row r="163" spans="1:14" ht="12.75">
      <c r="A163" s="197">
        <f>A162+0.01</f>
        <v>11.04</v>
      </c>
      <c r="B163" s="197" t="s">
        <v>26</v>
      </c>
      <c r="C163" s="197">
        <v>72132</v>
      </c>
      <c r="D163" s="1" t="s">
        <v>116</v>
      </c>
      <c r="E163" s="197" t="s">
        <v>10</v>
      </c>
      <c r="F163" s="196">
        <v>2.88</v>
      </c>
      <c r="G163" s="7"/>
      <c r="H163" s="189">
        <v>51.43</v>
      </c>
      <c r="I163" s="7"/>
      <c r="J163" s="196">
        <f>H163*F163</f>
        <v>148.11839999999998</v>
      </c>
      <c r="L163" s="8"/>
      <c r="M163" s="8"/>
      <c r="N163" s="188">
        <v>54.495</v>
      </c>
    </row>
    <row r="164" spans="1:14" ht="12.75">
      <c r="A164" s="203">
        <f>A161+0.01</f>
        <v>11.03</v>
      </c>
      <c r="B164" s="203" t="s">
        <v>26</v>
      </c>
      <c r="C164" s="203" t="s">
        <v>114</v>
      </c>
      <c r="D164" s="1" t="s">
        <v>115</v>
      </c>
      <c r="E164" s="203" t="s">
        <v>113</v>
      </c>
      <c r="F164" s="219">
        <v>1.28</v>
      </c>
      <c r="G164" s="7"/>
      <c r="H164" s="189">
        <v>326.1</v>
      </c>
      <c r="I164" s="7"/>
      <c r="J164" s="219">
        <f>H164*F164</f>
        <v>417.408</v>
      </c>
      <c r="L164" s="8"/>
      <c r="M164" s="8"/>
      <c r="N164" s="188">
        <v>54.495</v>
      </c>
    </row>
    <row r="165" spans="1:14" ht="25.5">
      <c r="A165" s="203">
        <f>A164+0.01</f>
        <v>11.04</v>
      </c>
      <c r="B165" s="203" t="s">
        <v>26</v>
      </c>
      <c r="C165" s="203">
        <v>75481</v>
      </c>
      <c r="D165" s="1" t="s">
        <v>141</v>
      </c>
      <c r="E165" s="203" t="s">
        <v>10</v>
      </c>
      <c r="F165" s="219">
        <f>1.71*4</f>
        <v>6.84</v>
      </c>
      <c r="G165" s="7"/>
      <c r="H165" s="189">
        <v>14.01</v>
      </c>
      <c r="I165" s="7"/>
      <c r="J165" s="219">
        <f>H165*F165</f>
        <v>95.8284</v>
      </c>
      <c r="L165" s="8"/>
      <c r="M165" s="8"/>
      <c r="N165" s="188"/>
    </row>
    <row r="166" spans="1:14" ht="12.75">
      <c r="A166" s="203">
        <f>A165+0.01</f>
        <v>11.049999999999999</v>
      </c>
      <c r="B166" s="203" t="s">
        <v>26</v>
      </c>
      <c r="C166" s="203" t="s">
        <v>142</v>
      </c>
      <c r="D166" s="1" t="s">
        <v>143</v>
      </c>
      <c r="E166" s="203" t="s">
        <v>10</v>
      </c>
      <c r="F166" s="219">
        <f>5.79*4</f>
        <v>23.16</v>
      </c>
      <c r="G166" s="7"/>
      <c r="H166" s="189">
        <v>10.12</v>
      </c>
      <c r="I166" s="7"/>
      <c r="J166" s="219">
        <f>H166*F166</f>
        <v>234.3792</v>
      </c>
      <c r="L166" s="8"/>
      <c r="M166" s="8"/>
      <c r="N166" s="188"/>
    </row>
    <row r="167" spans="6:14" ht="12.75">
      <c r="F167" s="3"/>
      <c r="G167" s="3"/>
      <c r="H167" s="35" t="s">
        <v>12</v>
      </c>
      <c r="I167" s="7"/>
      <c r="J167" s="12">
        <f>SUM(J160:J166)</f>
        <v>36302.664800000006</v>
      </c>
      <c r="N167" s="188"/>
    </row>
    <row r="168" spans="1:14" ht="12.75">
      <c r="A168" s="38"/>
      <c r="C168" s="38"/>
      <c r="E168" s="38"/>
      <c r="F168" s="7"/>
      <c r="G168" s="7"/>
      <c r="H168" s="7"/>
      <c r="I168" s="7"/>
      <c r="J168" s="7"/>
      <c r="N168" s="188"/>
    </row>
    <row r="169" spans="1:14" ht="12.75">
      <c r="A169" s="30">
        <v>12</v>
      </c>
      <c r="B169" s="2"/>
      <c r="C169" s="2"/>
      <c r="D169" s="29" t="s">
        <v>24</v>
      </c>
      <c r="E169" s="2"/>
      <c r="F169" s="13" t="s">
        <v>3</v>
      </c>
      <c r="G169" s="7"/>
      <c r="H169" s="277" t="s">
        <v>4</v>
      </c>
      <c r="I169" s="5"/>
      <c r="J169" s="277" t="s">
        <v>5</v>
      </c>
      <c r="N169" s="188"/>
    </row>
    <row r="170" spans="1:14" ht="12.75">
      <c r="A170" s="2"/>
      <c r="B170" s="2"/>
      <c r="C170" s="2"/>
      <c r="D170" s="1"/>
      <c r="E170" s="2"/>
      <c r="F170" s="6"/>
      <c r="G170" s="7"/>
      <c r="H170" s="277"/>
      <c r="I170" s="5"/>
      <c r="J170" s="281"/>
      <c r="N170" s="188"/>
    </row>
    <row r="171" spans="1:14" ht="12.75">
      <c r="A171" s="2">
        <f>A169+0.01</f>
        <v>12.01</v>
      </c>
      <c r="B171" s="203" t="s">
        <v>198</v>
      </c>
      <c r="C171" s="203">
        <v>270210</v>
      </c>
      <c r="D171" s="1" t="s">
        <v>120</v>
      </c>
      <c r="E171" s="2" t="s">
        <v>10</v>
      </c>
      <c r="F171" s="6">
        <v>1712.5</v>
      </c>
      <c r="G171" s="7"/>
      <c r="H171" s="189">
        <v>10.25</v>
      </c>
      <c r="I171" s="7"/>
      <c r="J171" s="6">
        <f>H171*F171</f>
        <v>17553.125</v>
      </c>
      <c r="M171" s="8"/>
      <c r="N171" s="188">
        <v>7.713</v>
      </c>
    </row>
    <row r="172" spans="6:14" ht="12.75">
      <c r="F172" s="3"/>
      <c r="G172" s="3"/>
      <c r="H172" s="35" t="s">
        <v>12</v>
      </c>
      <c r="I172" s="7"/>
      <c r="J172" s="12">
        <f>SUM(J171:J171)</f>
        <v>17553.125</v>
      </c>
      <c r="N172" s="188"/>
    </row>
    <row r="173" spans="2:14" ht="6.75" customHeight="1">
      <c r="B173" s="42"/>
      <c r="F173" s="3"/>
      <c r="G173" s="3"/>
      <c r="H173" s="44"/>
      <c r="I173" s="7"/>
      <c r="J173" s="7"/>
      <c r="N173" s="188"/>
    </row>
    <row r="174" spans="2:14" ht="12.75">
      <c r="B174" s="42"/>
      <c r="F174" s="3"/>
      <c r="G174" s="3"/>
      <c r="H174" s="48" t="s">
        <v>12</v>
      </c>
      <c r="I174" s="7"/>
      <c r="J174" s="49">
        <f>J156+J167+J172</f>
        <v>59257.26980000001</v>
      </c>
      <c r="N174" s="188"/>
    </row>
    <row r="175" spans="1:14" ht="12.75">
      <c r="A175" s="39"/>
      <c r="C175" s="39"/>
      <c r="D175" s="39"/>
      <c r="E175" s="39"/>
      <c r="F175" s="39"/>
      <c r="G175" s="39"/>
      <c r="H175" s="39"/>
      <c r="I175" s="7"/>
      <c r="J175" s="7"/>
      <c r="N175" s="188"/>
    </row>
    <row r="176" spans="1:14" ht="15" customHeight="1">
      <c r="A176" s="30">
        <v>13</v>
      </c>
      <c r="B176" s="2"/>
      <c r="C176" s="2"/>
      <c r="D176" s="29" t="s">
        <v>100</v>
      </c>
      <c r="E176" s="2"/>
      <c r="F176" s="13" t="s">
        <v>3</v>
      </c>
      <c r="G176" s="7"/>
      <c r="H176" s="277" t="s">
        <v>4</v>
      </c>
      <c r="I176" s="5"/>
      <c r="J176" s="277" t="s">
        <v>5</v>
      </c>
      <c r="N176" s="188"/>
    </row>
    <row r="177" spans="1:14" ht="15" customHeight="1">
      <c r="A177" s="2"/>
      <c r="B177" s="2"/>
      <c r="C177" s="2"/>
      <c r="D177" s="1"/>
      <c r="E177" s="2"/>
      <c r="F177" s="6"/>
      <c r="G177" s="7"/>
      <c r="H177" s="277"/>
      <c r="I177" s="5"/>
      <c r="J177" s="277"/>
      <c r="N177" s="188"/>
    </row>
    <row r="178" spans="1:14" ht="15" customHeight="1">
      <c r="A178" s="2">
        <f>A176+0.01</f>
        <v>13.01</v>
      </c>
      <c r="B178" s="203" t="s">
        <v>198</v>
      </c>
      <c r="C178" s="2">
        <v>250103</v>
      </c>
      <c r="D178" s="1" t="s">
        <v>101</v>
      </c>
      <c r="E178" s="2" t="s">
        <v>103</v>
      </c>
      <c r="F178" s="6">
        <v>360</v>
      </c>
      <c r="G178" s="7"/>
      <c r="H178" s="189">
        <v>18.31</v>
      </c>
      <c r="I178" s="7"/>
      <c r="J178" s="6">
        <f>H178*F178</f>
        <v>6591.599999999999</v>
      </c>
      <c r="M178" s="8"/>
      <c r="N178" s="188">
        <v>17.028000000000002</v>
      </c>
    </row>
    <row r="179" spans="1:14" ht="15" customHeight="1">
      <c r="A179" s="2">
        <f>A178+0.01</f>
        <v>13.02</v>
      </c>
      <c r="B179" s="2" t="s">
        <v>26</v>
      </c>
      <c r="C179" s="2">
        <v>90777</v>
      </c>
      <c r="D179" s="1" t="s">
        <v>102</v>
      </c>
      <c r="E179" s="2" t="s">
        <v>103</v>
      </c>
      <c r="F179" s="6">
        <v>60</v>
      </c>
      <c r="G179" s="7"/>
      <c r="H179" s="189">
        <v>64.6</v>
      </c>
      <c r="I179" s="7"/>
      <c r="J179" s="6">
        <f>H179*F179</f>
        <v>3875.9999999999995</v>
      </c>
      <c r="M179" s="8"/>
      <c r="N179" s="188">
        <v>51.597</v>
      </c>
    </row>
    <row r="180" spans="2:10" ht="15" customHeight="1">
      <c r="B180" s="183"/>
      <c r="F180" s="3"/>
      <c r="G180" s="3"/>
      <c r="H180" s="35" t="s">
        <v>12</v>
      </c>
      <c r="I180" s="7"/>
      <c r="J180" s="12">
        <f>J178+J179</f>
        <v>10467.599999999999</v>
      </c>
    </row>
    <row r="181" spans="2:10" ht="15" customHeight="1">
      <c r="B181" s="183"/>
      <c r="F181" s="3"/>
      <c r="G181" s="3"/>
      <c r="H181" s="184"/>
      <c r="I181" s="7"/>
      <c r="J181" s="7"/>
    </row>
    <row r="182" spans="2:10" ht="15" customHeight="1">
      <c r="B182" s="183"/>
      <c r="F182" s="3"/>
      <c r="G182" s="3"/>
      <c r="H182" s="48" t="s">
        <v>12</v>
      </c>
      <c r="I182" s="7"/>
      <c r="J182" s="49">
        <f>J180</f>
        <v>10467.599999999999</v>
      </c>
    </row>
    <row r="183" ht="11.25" customHeight="1">
      <c r="B183" s="183"/>
    </row>
    <row r="184" spans="8:10" ht="15" customHeight="1">
      <c r="H184" s="181" t="s">
        <v>6</v>
      </c>
      <c r="J184" s="181">
        <f>SUM(J182,J174,J132,J90,J51,)</f>
        <v>240038.79150000002</v>
      </c>
    </row>
    <row r="185" ht="6" customHeight="1"/>
    <row r="186" spans="8:10" ht="12.75">
      <c r="H186" s="181" t="s">
        <v>220</v>
      </c>
      <c r="I186" s="182"/>
      <c r="J186" s="181">
        <f>J184*0.289</f>
        <v>69371.2107435</v>
      </c>
    </row>
    <row r="187" spans="8:10" ht="6.75" customHeight="1">
      <c r="H187" s="182"/>
      <c r="I187" s="182"/>
      <c r="J187" s="182"/>
    </row>
    <row r="188" spans="8:10" ht="12.75">
      <c r="H188" s="181" t="s">
        <v>6</v>
      </c>
      <c r="I188" s="182"/>
      <c r="J188" s="181">
        <f>J184+J186</f>
        <v>309410.0022435</v>
      </c>
    </row>
    <row r="189" spans="2:10" ht="12.75">
      <c r="B189" s="236"/>
      <c r="H189" s="182"/>
      <c r="I189" s="182"/>
      <c r="J189" s="182"/>
    </row>
    <row r="190" spans="1:14" s="240" customFormat="1" ht="15.75">
      <c r="A190" s="237"/>
      <c r="B190" s="272" t="s">
        <v>199</v>
      </c>
      <c r="C190" s="272"/>
      <c r="D190" s="272"/>
      <c r="E190" s="237"/>
      <c r="F190" s="237"/>
      <c r="G190" s="238"/>
      <c r="H190" s="238"/>
      <c r="I190" s="239"/>
      <c r="N190" s="239"/>
    </row>
    <row r="191" spans="2:10" ht="12.75">
      <c r="B191" s="236"/>
      <c r="H191" s="182"/>
      <c r="I191" s="182"/>
      <c r="J191" s="182"/>
    </row>
    <row r="192" ht="12.75">
      <c r="F192" s="180"/>
    </row>
    <row r="193" spans="5:6" ht="24.75" customHeight="1">
      <c r="E193" s="280" t="s">
        <v>222</v>
      </c>
      <c r="F193" s="280"/>
    </row>
    <row r="194" spans="2:6" ht="24.75" customHeight="1">
      <c r="B194" s="217"/>
      <c r="E194" s="212"/>
      <c r="F194" s="212"/>
    </row>
    <row r="195" ht="10.5" customHeight="1"/>
    <row r="196" spans="2:8" ht="15.75">
      <c r="B196" s="183"/>
      <c r="D196" s="210" t="s">
        <v>117</v>
      </c>
      <c r="H196" s="9">
        <f>F188-F196</f>
        <v>0</v>
      </c>
    </row>
    <row r="197" spans="2:4" ht="15.75">
      <c r="B197" s="183"/>
      <c r="D197" s="210" t="s">
        <v>118</v>
      </c>
    </row>
    <row r="198" spans="2:4" ht="15.75">
      <c r="B198" s="183"/>
      <c r="D198" s="210" t="s">
        <v>119</v>
      </c>
    </row>
    <row r="199" spans="2:4" ht="12.75">
      <c r="B199" s="183"/>
      <c r="D199" s="183"/>
    </row>
    <row r="200" spans="2:4" ht="12.75">
      <c r="B200" s="183"/>
      <c r="D200" s="183"/>
    </row>
    <row r="201" ht="12.75">
      <c r="D201" s="183"/>
    </row>
    <row r="202" spans="2:4" ht="12.75">
      <c r="B202" s="183"/>
      <c r="D202" s="183"/>
    </row>
  </sheetData>
  <sheetProtection/>
  <mergeCells count="36">
    <mergeCell ref="A133:B133"/>
    <mergeCell ref="H92:H93"/>
    <mergeCell ref="H116:H117"/>
    <mergeCell ref="J116:J117"/>
    <mergeCell ref="H127:H128"/>
    <mergeCell ref="J127:J128"/>
    <mergeCell ref="J134:J135"/>
    <mergeCell ref="A10:B10"/>
    <mergeCell ref="A8:D8"/>
    <mergeCell ref="H53:H54"/>
    <mergeCell ref="A91:B91"/>
    <mergeCell ref="H17:H18"/>
    <mergeCell ref="J17:J18"/>
    <mergeCell ref="A9:K9"/>
    <mergeCell ref="H12:H13"/>
    <mergeCell ref="J12:J13"/>
    <mergeCell ref="C3:D3"/>
    <mergeCell ref="H176:H177"/>
    <mergeCell ref="J176:J177"/>
    <mergeCell ref="E193:F193"/>
    <mergeCell ref="J53:J54"/>
    <mergeCell ref="E6:J8"/>
    <mergeCell ref="H169:H170"/>
    <mergeCell ref="J169:J170"/>
    <mergeCell ref="J158:J159"/>
    <mergeCell ref="H134:H135"/>
    <mergeCell ref="B190:D190"/>
    <mergeCell ref="A2:D2"/>
    <mergeCell ref="A4:D4"/>
    <mergeCell ref="A5:D5"/>
    <mergeCell ref="E5:J5"/>
    <mergeCell ref="A6:D6"/>
    <mergeCell ref="H158:H159"/>
    <mergeCell ref="A52:C52"/>
    <mergeCell ref="J92:J93"/>
    <mergeCell ref="A3:B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8" r:id="rId2"/>
  <rowBreaks count="4" manualBreakCount="4">
    <brk id="35" max="10" man="1"/>
    <brk id="71" max="10" man="1"/>
    <brk id="110" max="10" man="1"/>
    <brk id="1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37">
      <selection activeCell="C52" sqref="C52"/>
    </sheetView>
  </sheetViews>
  <sheetFormatPr defaultColWidth="9.140625" defaultRowHeight="15"/>
  <cols>
    <col min="1" max="1" width="13.7109375" style="14" customWidth="1"/>
    <col min="2" max="2" width="29.421875" style="14" customWidth="1"/>
    <col min="3" max="7" width="12.8515625" style="14" customWidth="1"/>
    <col min="8" max="8" width="9.140625" style="14" customWidth="1"/>
    <col min="9" max="9" width="15.7109375" style="14" bestFit="1" customWidth="1"/>
    <col min="10" max="16384" width="9.140625" style="14" customWidth="1"/>
  </cols>
  <sheetData>
    <row r="1" spans="3:7" ht="15" customHeight="1">
      <c r="C1" s="304"/>
      <c r="D1" s="304"/>
      <c r="E1" s="304"/>
      <c r="F1" s="304"/>
      <c r="G1" s="304"/>
    </row>
    <row r="2" spans="3:7" ht="15" customHeight="1">
      <c r="C2" s="304"/>
      <c r="D2" s="304"/>
      <c r="E2" s="304"/>
      <c r="F2" s="304"/>
      <c r="G2" s="304"/>
    </row>
    <row r="3" spans="3:7" ht="15" customHeight="1">
      <c r="C3" s="304"/>
      <c r="D3" s="304"/>
      <c r="E3" s="304"/>
      <c r="F3" s="304"/>
      <c r="G3" s="304"/>
    </row>
    <row r="4" spans="1:7" ht="15" customHeight="1">
      <c r="A4" s="300"/>
      <c r="B4" s="301"/>
      <c r="C4" s="304"/>
      <c r="D4" s="304"/>
      <c r="E4" s="304"/>
      <c r="F4" s="304"/>
      <c r="G4" s="304"/>
    </row>
    <row r="5" spans="1:7" ht="15" customHeight="1">
      <c r="A5" s="301"/>
      <c r="B5" s="301"/>
      <c r="C5" s="305"/>
      <c r="D5" s="305"/>
      <c r="E5" s="305"/>
      <c r="F5" s="305"/>
      <c r="G5" s="305"/>
    </row>
    <row r="6" spans="1:7" ht="15" customHeight="1">
      <c r="A6" s="301"/>
      <c r="B6" s="301"/>
      <c r="C6" s="305"/>
      <c r="D6" s="305"/>
      <c r="E6" s="305"/>
      <c r="F6" s="305"/>
      <c r="G6" s="305"/>
    </row>
    <row r="7" spans="3:7" ht="9" customHeight="1">
      <c r="C7" s="305"/>
      <c r="D7" s="305"/>
      <c r="E7" s="305"/>
      <c r="F7" s="305"/>
      <c r="G7" s="305"/>
    </row>
    <row r="8" spans="1:9" ht="15">
      <c r="A8" s="306" t="str">
        <f>'ORÇAMENTO GERAL'!A2:D2</f>
        <v>OBRA: EMPREITADA SOB O REGIME GLOBAL DAS OBRAS DE CONSTRUÇÃO DE 7 PRAÇAS PÚBLICAS</v>
      </c>
      <c r="B8" s="306"/>
      <c r="C8" s="306"/>
      <c r="D8" s="306"/>
      <c r="E8" s="306"/>
      <c r="F8" s="306"/>
      <c r="G8" s="306"/>
      <c r="H8" s="15"/>
      <c r="I8" s="15"/>
    </row>
    <row r="9" spans="1:9" ht="15">
      <c r="A9" s="306" t="str">
        <f>'ORÇAMENTO GERAL'!A3:D3</f>
        <v>PROPRIETÁRIO: MUNICÍPIO DE PIRACANJUBA</v>
      </c>
      <c r="B9" s="306"/>
      <c r="C9" s="306"/>
      <c r="D9" s="192"/>
      <c r="E9" s="192"/>
      <c r="F9" s="192"/>
      <c r="G9" s="192"/>
      <c r="H9" s="15"/>
      <c r="I9" s="15"/>
    </row>
    <row r="10" spans="1:9" ht="15">
      <c r="A10" s="192" t="str">
        <f>'ORÇAMENTO GERAL'!A7</f>
        <v>CONT.REPASSE</v>
      </c>
      <c r="B10" s="191" t="s">
        <v>108</v>
      </c>
      <c r="C10" s="192"/>
      <c r="D10" s="192"/>
      <c r="E10" s="192"/>
      <c r="F10" s="192"/>
      <c r="G10" s="192"/>
      <c r="H10" s="15"/>
      <c r="I10" s="15"/>
    </row>
    <row r="11" spans="1:7" ht="15">
      <c r="A11" s="306" t="str">
        <f>'ORÇAMENTO GERAL'!A8:D8</f>
        <v>Prazo de Execução: 60 dias </v>
      </c>
      <c r="B11" s="306"/>
      <c r="C11" s="306"/>
      <c r="D11" s="306"/>
      <c r="E11" s="306"/>
      <c r="F11" s="306"/>
      <c r="G11" s="306"/>
    </row>
    <row r="12" spans="1:7" ht="6" customHeight="1">
      <c r="A12" s="204"/>
      <c r="B12" s="204"/>
      <c r="C12" s="204"/>
      <c r="D12" s="204"/>
      <c r="E12" s="204"/>
      <c r="F12" s="204"/>
      <c r="G12" s="204"/>
    </row>
    <row r="13" spans="1:8" ht="15" customHeight="1">
      <c r="A13" s="302" t="s">
        <v>215</v>
      </c>
      <c r="B13" s="303"/>
      <c r="C13" s="303"/>
      <c r="D13" s="303"/>
      <c r="E13" s="303"/>
      <c r="F13" s="303"/>
      <c r="G13" s="303"/>
      <c r="H13" s="303"/>
    </row>
    <row r="14" spans="1:7" ht="3.75" customHeight="1">
      <c r="A14" s="15"/>
      <c r="B14" s="15"/>
      <c r="C14" s="15"/>
      <c r="D14" s="15"/>
      <c r="E14" s="15"/>
      <c r="F14" s="15"/>
      <c r="G14" s="15"/>
    </row>
    <row r="15" spans="1:7" ht="15">
      <c r="A15" s="46" t="s">
        <v>1</v>
      </c>
      <c r="B15" s="52" t="s">
        <v>16</v>
      </c>
      <c r="C15" s="52" t="s">
        <v>17</v>
      </c>
      <c r="D15" s="53" t="s">
        <v>22</v>
      </c>
      <c r="E15" s="53" t="s">
        <v>18</v>
      </c>
      <c r="F15" s="53" t="s">
        <v>23</v>
      </c>
      <c r="G15" s="53" t="s">
        <v>19</v>
      </c>
    </row>
    <row r="16" spans="1:7" ht="7.5" customHeight="1">
      <c r="A16" s="56"/>
      <c r="B16" s="57"/>
      <c r="C16" s="57"/>
      <c r="D16" s="58"/>
      <c r="E16" s="58"/>
      <c r="F16" s="58"/>
      <c r="G16" s="58"/>
    </row>
    <row r="17" spans="1:7" ht="15">
      <c r="A17" s="290" t="str">
        <f>'ORÇAMENTO GERAL'!A10:B10</f>
        <v>PRAÇA JOÃO FRANCISCO DE ASSIS</v>
      </c>
      <c r="B17" s="290"/>
      <c r="C17" s="54"/>
      <c r="D17" s="55"/>
      <c r="E17" s="55"/>
      <c r="F17" s="55"/>
      <c r="G17" s="55"/>
    </row>
    <row r="18" spans="1:7" s="17" customFormat="1" ht="15">
      <c r="A18" s="293">
        <v>1</v>
      </c>
      <c r="B18" s="293" t="str">
        <f>'ORÇAMENTO GERAL'!D12</f>
        <v>SERVIÇOS PRELIMINARES</v>
      </c>
      <c r="C18" s="31">
        <f>'ORÇAMENTO GERAL'!J15</f>
        <v>1459.3000000000002</v>
      </c>
      <c r="D18" s="16">
        <f>C18</f>
        <v>1459.3000000000002</v>
      </c>
      <c r="E18" s="16"/>
      <c r="F18" s="16"/>
      <c r="G18" s="16"/>
    </row>
    <row r="19" spans="1:7" ht="15">
      <c r="A19" s="294"/>
      <c r="B19" s="294"/>
      <c r="C19" s="32">
        <f>C18/C52</f>
        <v>0.006079434040143466</v>
      </c>
      <c r="D19" s="33">
        <f>D18/C18</f>
        <v>1</v>
      </c>
      <c r="E19" s="34"/>
      <c r="F19" s="34"/>
      <c r="G19" s="34"/>
    </row>
    <row r="20" spans="1:7" s="17" customFormat="1" ht="15">
      <c r="A20" s="293">
        <v>2</v>
      </c>
      <c r="B20" s="293" t="str">
        <f>'ORÇAMENTO GERAL'!D17</f>
        <v>INSTALAÇÕES ELÉTRICAS</v>
      </c>
      <c r="C20" s="31">
        <f>'ORÇAMENTO GERAL'!J39</f>
        <v>7185.700000000003</v>
      </c>
      <c r="D20" s="16">
        <f>C20</f>
        <v>7185.700000000003</v>
      </c>
      <c r="E20" s="16"/>
      <c r="F20" s="16"/>
      <c r="G20" s="16"/>
    </row>
    <row r="21" spans="1:7" ht="15">
      <c r="A21" s="294"/>
      <c r="B21" s="294"/>
      <c r="C21" s="32">
        <f>C20/C52</f>
        <v>0.02993557814175215</v>
      </c>
      <c r="D21" s="33">
        <f>D20/C20</f>
        <v>1</v>
      </c>
      <c r="E21" s="34"/>
      <c r="F21" s="34"/>
      <c r="G21" s="34"/>
    </row>
    <row r="22" spans="1:7" s="17" customFormat="1" ht="15">
      <c r="A22" s="296">
        <v>3</v>
      </c>
      <c r="B22" s="308" t="str">
        <f>'ORÇAMENTO GERAL'!D41</f>
        <v>PISOS E ARTEFATOS DE CONCRETO</v>
      </c>
      <c r="C22" s="31">
        <f>'ORÇAMENTO GERAL'!J49</f>
        <v>24397.043999999998</v>
      </c>
      <c r="D22" s="16">
        <f>C22</f>
        <v>24397.043999999998</v>
      </c>
      <c r="E22" s="16"/>
      <c r="F22" s="16"/>
      <c r="G22" s="16"/>
    </row>
    <row r="23" spans="1:7" ht="15">
      <c r="A23" s="296"/>
      <c r="B23" s="309"/>
      <c r="C23" s="32">
        <f>C22/C52</f>
        <v>0.1016379221355978</v>
      </c>
      <c r="D23" s="33">
        <f>D22/C22</f>
        <v>1</v>
      </c>
      <c r="E23" s="34"/>
      <c r="F23" s="34"/>
      <c r="G23" s="34"/>
    </row>
    <row r="24" spans="1:7" s="22" customFormat="1" ht="7.5" customHeight="1">
      <c r="A24" s="20"/>
      <c r="B24" s="21"/>
      <c r="C24" s="23"/>
      <c r="D24" s="25"/>
      <c r="E24" s="24"/>
      <c r="F24" s="24"/>
      <c r="G24" s="24"/>
    </row>
    <row r="25" spans="1:7" ht="16.5" customHeight="1">
      <c r="A25" s="291" t="str">
        <f>'ORÇAMENTO GERAL'!A52:C52</f>
        <v>PRAÇA SEBASTIÃO DE OLIVEIRA 2</v>
      </c>
      <c r="B25" s="292"/>
      <c r="C25" s="59"/>
      <c r="D25" s="60"/>
      <c r="E25" s="59"/>
      <c r="F25" s="59"/>
      <c r="G25" s="59"/>
    </row>
    <row r="26" spans="1:7" ht="15">
      <c r="A26" s="293">
        <v>4</v>
      </c>
      <c r="B26" s="293" t="str">
        <f>'ORÇAMENTO GERAL'!D53</f>
        <v>INSTALAÇÕES ELÉTRICAS</v>
      </c>
      <c r="C26" s="31">
        <f>'ORÇAMENTO GERAL'!J75</f>
        <v>9727.939999999999</v>
      </c>
      <c r="D26" s="16">
        <f>C26</f>
        <v>9727.939999999999</v>
      </c>
      <c r="E26" s="16"/>
      <c r="F26" s="16"/>
      <c r="G26" s="16"/>
    </row>
    <row r="27" spans="1:7" ht="15">
      <c r="A27" s="294"/>
      <c r="B27" s="294"/>
      <c r="C27" s="32">
        <f>C26/C52</f>
        <v>0.04052653297914974</v>
      </c>
      <c r="D27" s="18">
        <f>D26/C26</f>
        <v>1</v>
      </c>
      <c r="E27" s="34"/>
      <c r="F27" s="34"/>
      <c r="G27" s="19"/>
    </row>
    <row r="28" spans="1:7" ht="15">
      <c r="A28" s="296">
        <v>5</v>
      </c>
      <c r="B28" s="296" t="str">
        <f>'ORÇAMENTO GERAL'!D77</f>
        <v>PISOS E ARTEFATOS DE CONCRETO</v>
      </c>
      <c r="C28" s="31">
        <f>'ORÇAMENTO GERAL'!J84</f>
        <v>40135.262500000004</v>
      </c>
      <c r="D28" s="16">
        <f>C28*0.5</f>
        <v>20067.631250000002</v>
      </c>
      <c r="E28" s="16">
        <f>C28*0.5</f>
        <v>20067.631250000002</v>
      </c>
      <c r="F28" s="16"/>
      <c r="G28" s="16"/>
    </row>
    <row r="29" spans="1:7" ht="15">
      <c r="A29" s="296"/>
      <c r="B29" s="296"/>
      <c r="C29" s="32">
        <f>C28/C52</f>
        <v>0.16720323514876553</v>
      </c>
      <c r="D29" s="18">
        <f>D28/C28</f>
        <v>0.5</v>
      </c>
      <c r="E29" s="34">
        <f>E28/C28</f>
        <v>0.5</v>
      </c>
      <c r="F29" s="34"/>
      <c r="G29" s="34"/>
    </row>
    <row r="30" spans="1:7" ht="15">
      <c r="A30" s="296">
        <v>6</v>
      </c>
      <c r="B30" s="296" t="str">
        <f>'ORÇAMENTO GERAL'!D86</f>
        <v>VEGETAÇÃO</v>
      </c>
      <c r="C30" s="31">
        <f>'ORÇAMENTO GERAL'!J88</f>
        <v>38068.3975</v>
      </c>
      <c r="D30" s="16"/>
      <c r="E30" s="16">
        <f>C30*0.5</f>
        <v>19034.19875</v>
      </c>
      <c r="F30" s="16">
        <f>C30*0.5</f>
        <v>19034.19875</v>
      </c>
      <c r="G30" s="16"/>
    </row>
    <row r="31" spans="1:7" s="22" customFormat="1" ht="15.75" customHeight="1">
      <c r="A31" s="296"/>
      <c r="B31" s="296"/>
      <c r="C31" s="32">
        <f>C30/C52</f>
        <v>0.15859268938204096</v>
      </c>
      <c r="D31" s="18"/>
      <c r="E31" s="18">
        <f>E30/C30</f>
        <v>0.5</v>
      </c>
      <c r="F31" s="34">
        <f>F30/C30</f>
        <v>0.5</v>
      </c>
      <c r="G31" s="34"/>
    </row>
    <row r="32" spans="1:7" s="22" customFormat="1" ht="8.25" customHeight="1">
      <c r="A32" s="20"/>
      <c r="B32" s="21"/>
      <c r="C32" s="23"/>
      <c r="D32" s="24"/>
      <c r="E32" s="24"/>
      <c r="F32" s="24"/>
      <c r="G32" s="24"/>
    </row>
    <row r="33" spans="1:7" s="22" customFormat="1" ht="17.25" customHeight="1">
      <c r="A33" s="290" t="str">
        <f>'ORÇAMENTO GERAL'!A91:B91</f>
        <v>PRAÇA IVO ABDON FERRARI - UIRAPURU</v>
      </c>
      <c r="B33" s="290"/>
      <c r="C33" s="59"/>
      <c r="D33" s="60"/>
      <c r="E33" s="59"/>
      <c r="F33" s="59"/>
      <c r="G33" s="59"/>
    </row>
    <row r="34" spans="1:7" s="22" customFormat="1" ht="17.25" customHeight="1">
      <c r="A34" s="296">
        <v>7</v>
      </c>
      <c r="B34" s="296" t="str">
        <f>'ORÇAMENTO GERAL'!D92</f>
        <v>INSTALAÇÕES ELÉTRICAS</v>
      </c>
      <c r="C34" s="31">
        <f>'ORÇAMENTO GERAL'!J114</f>
        <v>5259.710000000001</v>
      </c>
      <c r="D34" s="16"/>
      <c r="E34" s="16">
        <f>C34*0.5</f>
        <v>2629.8550000000005</v>
      </c>
      <c r="F34" s="16">
        <f>C34*0.5</f>
        <v>2629.8550000000005</v>
      </c>
      <c r="G34" s="16"/>
    </row>
    <row r="35" spans="1:7" s="22" customFormat="1" ht="15">
      <c r="A35" s="296"/>
      <c r="B35" s="296"/>
      <c r="C35" s="32">
        <f>C34/C52</f>
        <v>0.021911916682849992</v>
      </c>
      <c r="D35" s="18"/>
      <c r="E35" s="34">
        <f>E34/C34</f>
        <v>0.5</v>
      </c>
      <c r="F35" s="34">
        <f>F34/C34</f>
        <v>0.5</v>
      </c>
      <c r="G35" s="19"/>
    </row>
    <row r="36" spans="1:7" s="22" customFormat="1" ht="17.25" customHeight="1">
      <c r="A36" s="296">
        <v>8</v>
      </c>
      <c r="B36" s="296" t="str">
        <f>'ORÇAMENTO GERAL'!D116</f>
        <v>PISOS E ARTEFATOS DE CONCRETO</v>
      </c>
      <c r="C36" s="31">
        <f>'ORÇAMENTO GERAL'!J125</f>
        <v>35028.0752</v>
      </c>
      <c r="D36" s="16"/>
      <c r="E36" s="16">
        <f>C36*0.5</f>
        <v>17514.0376</v>
      </c>
      <c r="F36" s="16">
        <f>C36*0.5</f>
        <v>17514.0376</v>
      </c>
      <c r="G36" s="16"/>
    </row>
    <row r="37" spans="1:7" s="22" customFormat="1" ht="15">
      <c r="A37" s="296"/>
      <c r="B37" s="296"/>
      <c r="C37" s="32">
        <f>C36/C52</f>
        <v>0.14592672701403764</v>
      </c>
      <c r="D37" s="18"/>
      <c r="E37" s="34">
        <f>E36/C36</f>
        <v>0.5</v>
      </c>
      <c r="F37" s="34">
        <f>F36/C36</f>
        <v>0.5</v>
      </c>
      <c r="G37" s="34"/>
    </row>
    <row r="38" spans="1:7" s="22" customFormat="1" ht="17.25" customHeight="1">
      <c r="A38" s="296">
        <v>9</v>
      </c>
      <c r="B38" s="296" t="str">
        <f>'ORÇAMENTO GERAL'!D127</f>
        <v>VEGETAÇÃO</v>
      </c>
      <c r="C38" s="31">
        <f>'ORÇAMENTO GERAL'!J130</f>
        <v>9052.4925</v>
      </c>
      <c r="D38" s="16"/>
      <c r="E38" s="16">
        <f>C38</f>
        <v>9052.4925</v>
      </c>
      <c r="F38" s="16"/>
      <c r="G38" s="16"/>
    </row>
    <row r="39" spans="1:7" s="22" customFormat="1" ht="15">
      <c r="A39" s="296"/>
      <c r="B39" s="296"/>
      <c r="C39" s="32">
        <f>C38/C52</f>
        <v>0.03771262321156953</v>
      </c>
      <c r="D39" s="18"/>
      <c r="E39" s="19">
        <f>E38/C38</f>
        <v>1</v>
      </c>
      <c r="F39" s="34"/>
      <c r="G39" s="34"/>
    </row>
    <row r="40" spans="1:7" s="22" customFormat="1" ht="9" customHeight="1">
      <c r="A40" s="20"/>
      <c r="B40" s="21"/>
      <c r="C40" s="23"/>
      <c r="D40" s="24"/>
      <c r="E40" s="24"/>
      <c r="F40" s="24"/>
      <c r="G40" s="24"/>
    </row>
    <row r="41" spans="1:7" s="22" customFormat="1" ht="17.25" customHeight="1">
      <c r="A41" s="290" t="str">
        <f>'ORÇAMENTO GERAL'!A133:B133</f>
        <v>PRAÇA ALFEU ALVES MAGALHÃES</v>
      </c>
      <c r="B41" s="290"/>
      <c r="C41" s="59"/>
      <c r="D41" s="60"/>
      <c r="E41" s="59"/>
      <c r="F41" s="59"/>
      <c r="G41" s="59"/>
    </row>
    <row r="42" spans="1:7" s="22" customFormat="1" ht="17.25" customHeight="1">
      <c r="A42" s="296">
        <v>10</v>
      </c>
      <c r="B42" s="296" t="str">
        <f>'ORÇAMENTO GERAL'!D134</f>
        <v>INSTALAÇÕES ELÉTRICAS</v>
      </c>
      <c r="C42" s="31">
        <f>'ORÇAMENTO GERAL'!J156</f>
        <v>5401.48</v>
      </c>
      <c r="D42" s="16"/>
      <c r="E42" s="16"/>
      <c r="F42" s="16">
        <f>C42</f>
        <v>5401.48</v>
      </c>
      <c r="G42" s="16"/>
    </row>
    <row r="43" spans="1:7" s="22" customFormat="1" ht="15">
      <c r="A43" s="296"/>
      <c r="B43" s="296"/>
      <c r="C43" s="32">
        <f>C42/C52</f>
        <v>0.022502529554686578</v>
      </c>
      <c r="D43" s="18"/>
      <c r="E43" s="34"/>
      <c r="F43" s="34">
        <f>F42/C42</f>
        <v>1</v>
      </c>
      <c r="G43" s="19"/>
    </row>
    <row r="44" spans="1:7" s="22" customFormat="1" ht="17.25" customHeight="1">
      <c r="A44" s="296">
        <v>11</v>
      </c>
      <c r="B44" s="296" t="str">
        <f>'ORÇAMENTO GERAL'!D158</f>
        <v>PISOS E ARTEFATOS DE CONCRETO</v>
      </c>
      <c r="C44" s="31">
        <f>'ORÇAMENTO GERAL'!J167</f>
        <v>36302.664800000006</v>
      </c>
      <c r="D44" s="16"/>
      <c r="E44" s="16"/>
      <c r="F44" s="16"/>
      <c r="G44" s="16">
        <f>C44</f>
        <v>36302.664800000006</v>
      </c>
    </row>
    <row r="45" spans="1:7" s="22" customFormat="1" ht="15">
      <c r="A45" s="296"/>
      <c r="B45" s="296"/>
      <c r="C45" s="32">
        <f>C44/C52</f>
        <v>0.15123665876313164</v>
      </c>
      <c r="D45" s="18"/>
      <c r="E45" s="34"/>
      <c r="F45" s="34"/>
      <c r="G45" s="34">
        <f>G44/C44</f>
        <v>1</v>
      </c>
    </row>
    <row r="46" spans="1:7" s="22" customFormat="1" ht="17.25" customHeight="1">
      <c r="A46" s="296">
        <v>12</v>
      </c>
      <c r="B46" s="296" t="str">
        <f>'ORÇAMENTO GERAL'!D169</f>
        <v>VEGETAÇÃO</v>
      </c>
      <c r="C46" s="31">
        <f>'ORÇAMENTO GERAL'!J172</f>
        <v>17553.125</v>
      </c>
      <c r="D46" s="16"/>
      <c r="E46" s="16"/>
      <c r="F46" s="16"/>
      <c r="G46" s="16">
        <f>C46</f>
        <v>17553.125</v>
      </c>
    </row>
    <row r="47" spans="1:7" s="22" customFormat="1" ht="15">
      <c r="A47" s="296"/>
      <c r="B47" s="296"/>
      <c r="C47" s="32">
        <f>C46/C52</f>
        <v>0.07312620135400073</v>
      </c>
      <c r="D47" s="18"/>
      <c r="E47" s="19"/>
      <c r="F47" s="34"/>
      <c r="G47" s="34">
        <f>G46/C46</f>
        <v>1</v>
      </c>
    </row>
    <row r="48" spans="1:7" s="22" customFormat="1" ht="11.25" customHeight="1">
      <c r="A48" s="20"/>
      <c r="B48" s="21"/>
      <c r="C48" s="23"/>
      <c r="D48" s="24"/>
      <c r="E48" s="24"/>
      <c r="F48" s="24"/>
      <c r="G48" s="24"/>
    </row>
    <row r="49" spans="1:7" s="22" customFormat="1" ht="11.25" customHeight="1">
      <c r="A49" s="296">
        <v>13</v>
      </c>
      <c r="B49" s="296" t="str">
        <f>'ORÇAMENTO GERAL'!D176</f>
        <v>ADMINISTRAÇÃO DE OBRA</v>
      </c>
      <c r="C49" s="31">
        <f>'ORÇAMENTO GERAL'!J180</f>
        <v>10467.599999999999</v>
      </c>
      <c r="D49" s="16">
        <f>$C$49*0.25</f>
        <v>2616.8999999999996</v>
      </c>
      <c r="E49" s="16">
        <f>$C$49*0.25</f>
        <v>2616.8999999999996</v>
      </c>
      <c r="F49" s="16">
        <f>$C$49*0.25</f>
        <v>2616.8999999999996</v>
      </c>
      <c r="G49" s="16">
        <f>$C$49*0.25</f>
        <v>2616.8999999999996</v>
      </c>
    </row>
    <row r="50" spans="1:7" s="22" customFormat="1" ht="14.25" customHeight="1">
      <c r="A50" s="296"/>
      <c r="B50" s="296"/>
      <c r="C50" s="32">
        <f>C49/C52</f>
        <v>0.043607951592274194</v>
      </c>
      <c r="D50" s="18">
        <f>D49/$C$49</f>
        <v>0.25</v>
      </c>
      <c r="E50" s="18">
        <f>E49/$C$49</f>
        <v>0.25</v>
      </c>
      <c r="F50" s="18">
        <f>F49/$C$49</f>
        <v>0.25</v>
      </c>
      <c r="G50" s="18">
        <f>G49/$C$49</f>
        <v>0.25</v>
      </c>
    </row>
    <row r="51" spans="1:7" s="22" customFormat="1" ht="10.5" customHeight="1">
      <c r="A51" s="20"/>
      <c r="B51" s="21"/>
      <c r="C51" s="23"/>
      <c r="D51" s="24"/>
      <c r="E51" s="24"/>
      <c r="F51" s="24"/>
      <c r="G51" s="24"/>
    </row>
    <row r="52" spans="1:7" ht="15">
      <c r="A52" s="310" t="s">
        <v>20</v>
      </c>
      <c r="B52" s="310"/>
      <c r="C52" s="31">
        <f>C18+C22+C26+C28+C30+C34+C36+C38+C42+C44+C46+C49+C20</f>
        <v>240038.79150000002</v>
      </c>
      <c r="D52" s="16">
        <f>D18+D22+D26+D49+D28+D20</f>
        <v>65454.515250000004</v>
      </c>
      <c r="E52" s="16">
        <f>E28+E34+E36+E49+E38+E30</f>
        <v>70915.1151</v>
      </c>
      <c r="F52" s="16">
        <f>F30+F34+F36+F42+F49</f>
        <v>47196.47135</v>
      </c>
      <c r="G52" s="16">
        <f>G44+G46+G49</f>
        <v>56472.68980000001</v>
      </c>
    </row>
    <row r="53" spans="1:9" ht="15">
      <c r="A53" s="45"/>
      <c r="B53" s="45" t="s">
        <v>221</v>
      </c>
      <c r="C53" s="31">
        <f>C52*0.289</f>
        <v>69371.2107435</v>
      </c>
      <c r="D53" s="16">
        <f>D52*0.289</f>
        <v>18916.35490725</v>
      </c>
      <c r="E53" s="16">
        <f>E52*0.289</f>
        <v>20494.4682639</v>
      </c>
      <c r="F53" s="16">
        <f>F52*0.289</f>
        <v>13639.780220149998</v>
      </c>
      <c r="G53" s="16">
        <f>G52*0.289</f>
        <v>16320.6073522</v>
      </c>
      <c r="I53" s="269"/>
    </row>
    <row r="54" spans="1:9" ht="15">
      <c r="A54" s="268"/>
      <c r="B54" s="45" t="s">
        <v>6</v>
      </c>
      <c r="C54" s="31">
        <f>C52+C53</f>
        <v>309410.0022435</v>
      </c>
      <c r="D54" s="16">
        <f>D52+D53</f>
        <v>84370.87015725</v>
      </c>
      <c r="E54" s="16">
        <f>E52+E53</f>
        <v>91409.58336389999</v>
      </c>
      <c r="F54" s="16">
        <f>F52+F53</f>
        <v>60836.251570149994</v>
      </c>
      <c r="G54" s="16">
        <f>G52+G53</f>
        <v>72793.29715220002</v>
      </c>
      <c r="I54" s="269"/>
    </row>
    <row r="55" spans="1:9" ht="15">
      <c r="A55" s="310" t="s">
        <v>21</v>
      </c>
      <c r="B55" s="310"/>
      <c r="C55" s="61">
        <f>D55+E55+F55+G55</f>
        <v>1</v>
      </c>
      <c r="D55" s="18">
        <f>D52/$C$52</f>
        <v>0.2726830727690945</v>
      </c>
      <c r="E55" s="19">
        <f>E52/$C$52</f>
        <v>0.2954318952234851</v>
      </c>
      <c r="F55" s="19">
        <f>F52/$C$52</f>
        <v>0.19662018399221942</v>
      </c>
      <c r="G55" s="19">
        <f>G52/$C$52</f>
        <v>0.23526484801520092</v>
      </c>
      <c r="I55" s="270"/>
    </row>
    <row r="56" spans="1:7" ht="15">
      <c r="A56" s="26"/>
      <c r="B56" s="26"/>
      <c r="C56" s="23"/>
      <c r="D56" s="23"/>
      <c r="E56" s="23"/>
      <c r="F56" s="23"/>
      <c r="G56" s="23"/>
    </row>
    <row r="57" spans="1:8" ht="15.75">
      <c r="A57" s="297" t="str">
        <f>'ORÇAMENTO GERAL'!E193</f>
        <v>Piracanjuba, 22/06/2017</v>
      </c>
      <c r="B57" s="298"/>
      <c r="C57" s="298"/>
      <c r="D57" s="298"/>
      <c r="E57" s="298"/>
      <c r="F57" s="298"/>
      <c r="G57" s="298"/>
      <c r="H57" s="215"/>
    </row>
    <row r="58" spans="1:8" s="27" customFormat="1" ht="39" customHeight="1">
      <c r="A58" s="307"/>
      <c r="B58" s="307"/>
      <c r="C58" s="307"/>
      <c r="D58" s="307"/>
      <c r="E58" s="307"/>
      <c r="F58" s="307"/>
      <c r="G58" s="307"/>
      <c r="H58" s="216"/>
    </row>
    <row r="59" spans="1:8" ht="12" customHeight="1">
      <c r="A59" s="299" t="s">
        <v>117</v>
      </c>
      <c r="B59" s="299"/>
      <c r="C59" s="299"/>
      <c r="D59" s="299"/>
      <c r="E59" s="299"/>
      <c r="F59" s="299"/>
      <c r="G59" s="299"/>
      <c r="H59" s="299"/>
    </row>
    <row r="60" spans="1:10" ht="15.75">
      <c r="A60" s="295" t="s">
        <v>126</v>
      </c>
      <c r="B60" s="295"/>
      <c r="C60" s="295"/>
      <c r="D60" s="295"/>
      <c r="E60" s="295"/>
      <c r="F60" s="295"/>
      <c r="G60" s="295"/>
      <c r="H60" s="295"/>
      <c r="I60" s="209"/>
      <c r="J60" s="209"/>
    </row>
    <row r="61" spans="1:8" s="28" customFormat="1" ht="16.5" customHeight="1">
      <c r="A61" s="295" t="s">
        <v>127</v>
      </c>
      <c r="B61" s="295"/>
      <c r="C61" s="295"/>
      <c r="D61" s="295"/>
      <c r="E61" s="295"/>
      <c r="F61" s="295"/>
      <c r="G61" s="295"/>
      <c r="H61" s="295"/>
    </row>
  </sheetData>
  <sheetProtection/>
  <mergeCells count="44">
    <mergeCell ref="A58:G58"/>
    <mergeCell ref="A46:A47"/>
    <mergeCell ref="B44:B45"/>
    <mergeCell ref="A9:C9"/>
    <mergeCell ref="A60:H60"/>
    <mergeCell ref="B22:B23"/>
    <mergeCell ref="B26:B27"/>
    <mergeCell ref="A52:B52"/>
    <mergeCell ref="A55:B55"/>
    <mergeCell ref="A49:A50"/>
    <mergeCell ref="B49:B50"/>
    <mergeCell ref="A28:A29"/>
    <mergeCell ref="B28:B29"/>
    <mergeCell ref="B30:B31"/>
    <mergeCell ref="A33:B33"/>
    <mergeCell ref="A34:A35"/>
    <mergeCell ref="B34:B35"/>
    <mergeCell ref="A30:A31"/>
    <mergeCell ref="B20:B21"/>
    <mergeCell ref="B18:B19"/>
    <mergeCell ref="A18:A19"/>
    <mergeCell ref="B46:B47"/>
    <mergeCell ref="A42:A43"/>
    <mergeCell ref="A44:A45"/>
    <mergeCell ref="A59:H59"/>
    <mergeCell ref="A41:B41"/>
    <mergeCell ref="A4:B6"/>
    <mergeCell ref="A13:H13"/>
    <mergeCell ref="C1:G4"/>
    <mergeCell ref="C5:G7"/>
    <mergeCell ref="A8:G8"/>
    <mergeCell ref="A22:A23"/>
    <mergeCell ref="A11:G11"/>
    <mergeCell ref="A20:A21"/>
    <mergeCell ref="A17:B17"/>
    <mergeCell ref="A25:B25"/>
    <mergeCell ref="A26:A27"/>
    <mergeCell ref="A61:H61"/>
    <mergeCell ref="A36:A37"/>
    <mergeCell ref="B36:B37"/>
    <mergeCell ref="A38:A39"/>
    <mergeCell ref="B38:B39"/>
    <mergeCell ref="B42:B43"/>
    <mergeCell ref="A57:G57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scale="105" r:id="rId2"/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3"/>
  <sheetViews>
    <sheetView view="pageBreakPreview" zoomScaleSheetLayoutView="100" zoomScalePageLayoutView="0" workbookViewId="0" topLeftCell="A22">
      <selection activeCell="V26" sqref="V26"/>
    </sheetView>
  </sheetViews>
  <sheetFormatPr defaultColWidth="1.7109375" defaultRowHeight="9.75" customHeight="1"/>
  <cols>
    <col min="1" max="1" width="0.85546875" style="69" customWidth="1"/>
    <col min="2" max="6" width="1.7109375" style="71" customWidth="1"/>
    <col min="7" max="8" width="1.7109375" style="72" customWidth="1"/>
    <col min="9" max="26" width="1.7109375" style="71" customWidth="1"/>
    <col min="27" max="27" width="15.57421875" style="71" customWidth="1"/>
    <col min="28" max="44" width="1.7109375" style="71" customWidth="1"/>
    <col min="45" max="45" width="3.8515625" style="71" customWidth="1"/>
    <col min="46" max="63" width="1.7109375" style="71" customWidth="1"/>
    <col min="64" max="64" width="1.7109375" style="69" customWidth="1"/>
    <col min="65" max="65" width="1.7109375" style="71" customWidth="1"/>
    <col min="66" max="66" width="4.57421875" style="71" customWidth="1"/>
    <col min="67" max="71" width="1.7109375" style="71" customWidth="1"/>
    <col min="72" max="72" width="3.8515625" style="71" customWidth="1"/>
    <col min="73" max="73" width="1.7109375" style="71" customWidth="1"/>
    <col min="74" max="74" width="10.7109375" style="71" customWidth="1"/>
    <col min="75" max="75" width="4.8515625" style="71" hidden="1" customWidth="1"/>
    <col min="76" max="76" width="17.57421875" style="89" hidden="1" customWidth="1"/>
    <col min="77" max="79" width="17.140625" style="71" hidden="1" customWidth="1"/>
    <col min="80" max="80" width="13.57421875" style="71" hidden="1" customWidth="1"/>
    <col min="81" max="81" width="7.7109375" style="72" hidden="1" customWidth="1"/>
    <col min="82" max="82" width="11.8515625" style="72" hidden="1" customWidth="1"/>
    <col min="83" max="83" width="7.8515625" style="72" hidden="1" customWidth="1"/>
    <col min="84" max="84" width="5.7109375" style="71" hidden="1" customWidth="1"/>
    <col min="85" max="87" width="13.57421875" style="71" customWidth="1"/>
    <col min="88" max="16384" width="1.7109375" style="71" customWidth="1"/>
  </cols>
  <sheetData>
    <row r="1" spans="1:93" s="67" customFormat="1" ht="18.75" customHeight="1">
      <c r="A1" s="62"/>
      <c r="B1" s="369" t="s">
        <v>32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16" t="s">
        <v>33</v>
      </c>
      <c r="BC1" s="316"/>
      <c r="BD1" s="316"/>
      <c r="BE1" s="316"/>
      <c r="BF1" s="316"/>
      <c r="BG1" s="316"/>
      <c r="BH1" s="316"/>
      <c r="BI1" s="370"/>
      <c r="BJ1" s="345" t="s">
        <v>99</v>
      </c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7"/>
      <c r="BV1" s="62"/>
      <c r="BW1" s="64"/>
      <c r="BX1" s="64"/>
      <c r="BY1" s="64"/>
      <c r="BZ1" s="64"/>
      <c r="CA1" s="64"/>
      <c r="CB1" s="64"/>
      <c r="CC1" s="65"/>
      <c r="CD1" s="65"/>
      <c r="CE1" s="65"/>
      <c r="CF1" s="64"/>
      <c r="CG1" s="64"/>
      <c r="CH1" s="64"/>
      <c r="CI1" s="64"/>
      <c r="CJ1" s="64"/>
      <c r="CK1" s="66"/>
      <c r="CL1" s="66"/>
      <c r="CO1" s="68"/>
    </row>
    <row r="2" spans="1:93" s="67" customFormat="1" ht="4.5" customHeight="1">
      <c r="A2" s="69"/>
      <c r="B2" s="70"/>
      <c r="C2" s="71"/>
      <c r="D2" s="71"/>
      <c r="E2" s="71"/>
      <c r="F2" s="71"/>
      <c r="G2" s="72"/>
      <c r="H2" s="72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0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69"/>
      <c r="BK2" s="70"/>
      <c r="BL2" s="69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3"/>
      <c r="BX2" s="73"/>
      <c r="BY2" s="73"/>
      <c r="BZ2" s="73"/>
      <c r="CA2" s="73"/>
      <c r="CB2" s="73"/>
      <c r="CC2" s="65"/>
      <c r="CD2" s="65"/>
      <c r="CE2" s="65"/>
      <c r="CF2" s="74"/>
      <c r="CG2" s="74"/>
      <c r="CH2" s="74"/>
      <c r="CI2" s="74"/>
      <c r="CJ2" s="74"/>
      <c r="CK2" s="66"/>
      <c r="CL2" s="66"/>
      <c r="CO2" s="68"/>
    </row>
    <row r="3" spans="1:83" s="75" customFormat="1" ht="3.75" customHeight="1" thickBot="1">
      <c r="A3" s="67"/>
      <c r="G3" s="76"/>
      <c r="H3" s="76"/>
      <c r="BW3" s="73"/>
      <c r="BX3" s="73"/>
      <c r="BY3" s="73"/>
      <c r="BZ3" s="73"/>
      <c r="CA3" s="73"/>
      <c r="CB3" s="73"/>
      <c r="CC3" s="76"/>
      <c r="CD3" s="76"/>
      <c r="CE3" s="76"/>
    </row>
    <row r="4" spans="1:76" ht="12" customHeight="1" thickBot="1">
      <c r="A4" s="67"/>
      <c r="B4" s="77" t="s">
        <v>34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348" t="s">
        <v>35</v>
      </c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50"/>
      <c r="AQ4" s="351" t="s">
        <v>36</v>
      </c>
      <c r="AR4" s="351"/>
      <c r="AS4" s="351"/>
      <c r="AT4" s="351"/>
      <c r="AU4" s="351"/>
      <c r="AV4" s="351"/>
      <c r="AW4" s="351"/>
      <c r="AX4" s="351"/>
      <c r="AY4" s="351"/>
      <c r="AZ4" s="352" t="s">
        <v>98</v>
      </c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4"/>
      <c r="BX4" s="71"/>
    </row>
    <row r="5" spans="1:80" ht="3" customHeight="1">
      <c r="A5" s="78"/>
      <c r="B5" s="79"/>
      <c r="C5" s="80"/>
      <c r="D5" s="80"/>
      <c r="E5" s="80"/>
      <c r="F5" s="80"/>
      <c r="G5" s="81"/>
      <c r="H5" s="81"/>
      <c r="I5" s="80"/>
      <c r="J5" s="82"/>
      <c r="K5" s="83"/>
      <c r="L5" s="83"/>
      <c r="M5" s="83"/>
      <c r="N5" s="83"/>
      <c r="O5" s="83"/>
      <c r="P5" s="83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78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3"/>
      <c r="BX5" s="73"/>
      <c r="BY5" s="73"/>
      <c r="BZ5" s="73"/>
      <c r="CA5" s="73"/>
      <c r="CB5" s="73"/>
    </row>
    <row r="6" spans="1:80" ht="3" customHeight="1" thickBot="1">
      <c r="A6" s="67"/>
      <c r="B6" s="84"/>
      <c r="C6" s="85"/>
      <c r="D6" s="85"/>
      <c r="E6" s="85"/>
      <c r="F6" s="85"/>
      <c r="G6" s="86"/>
      <c r="H6" s="86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67"/>
      <c r="BW6" s="73"/>
      <c r="BX6" s="73"/>
      <c r="BY6" s="73"/>
      <c r="BZ6" s="73"/>
      <c r="CA6" s="73"/>
      <c r="CB6" s="73"/>
    </row>
    <row r="7" spans="1:80" ht="17.25" customHeight="1">
      <c r="A7" s="67"/>
      <c r="B7" s="355" t="s">
        <v>37</v>
      </c>
      <c r="C7" s="356"/>
      <c r="D7" s="356"/>
      <c r="E7" s="356"/>
      <c r="F7" s="356"/>
      <c r="G7" s="359" t="s">
        <v>38</v>
      </c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1"/>
      <c r="AE7" s="365" t="s">
        <v>39</v>
      </c>
      <c r="AF7" s="331"/>
      <c r="AG7" s="332"/>
      <c r="AH7" s="365" t="s">
        <v>40</v>
      </c>
      <c r="AI7" s="331"/>
      <c r="AJ7" s="331"/>
      <c r="AK7" s="331"/>
      <c r="AL7" s="332"/>
      <c r="AM7" s="330" t="s">
        <v>41</v>
      </c>
      <c r="AN7" s="331"/>
      <c r="AO7" s="331"/>
      <c r="AP7" s="331"/>
      <c r="AQ7" s="331"/>
      <c r="AR7" s="331"/>
      <c r="AS7" s="367"/>
      <c r="AT7" s="330" t="s">
        <v>42</v>
      </c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67"/>
      <c r="BH7" s="330" t="s">
        <v>43</v>
      </c>
      <c r="BI7" s="331"/>
      <c r="BJ7" s="331"/>
      <c r="BK7" s="331"/>
      <c r="BL7" s="331"/>
      <c r="BM7" s="331"/>
      <c r="BN7" s="367"/>
      <c r="BO7" s="330" t="s">
        <v>44</v>
      </c>
      <c r="BP7" s="331"/>
      <c r="BQ7" s="331"/>
      <c r="BR7" s="331"/>
      <c r="BS7" s="331"/>
      <c r="BT7" s="331"/>
      <c r="BU7" s="332"/>
      <c r="BV7" s="87" t="s">
        <v>45</v>
      </c>
      <c r="BW7" s="73"/>
      <c r="BX7" s="73"/>
      <c r="BY7" s="73"/>
      <c r="BZ7" s="73"/>
      <c r="CA7" s="73"/>
      <c r="CB7" s="73"/>
    </row>
    <row r="8" spans="1:83" ht="17.25" customHeight="1">
      <c r="A8" s="67"/>
      <c r="B8" s="357"/>
      <c r="C8" s="358"/>
      <c r="D8" s="358"/>
      <c r="E8" s="358"/>
      <c r="F8" s="358"/>
      <c r="G8" s="362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4"/>
      <c r="AE8" s="366"/>
      <c r="AF8" s="334"/>
      <c r="AG8" s="335"/>
      <c r="AH8" s="366"/>
      <c r="AI8" s="334"/>
      <c r="AJ8" s="334"/>
      <c r="AK8" s="334"/>
      <c r="AL8" s="335"/>
      <c r="AM8" s="333"/>
      <c r="AN8" s="334"/>
      <c r="AO8" s="334"/>
      <c r="AP8" s="334"/>
      <c r="AQ8" s="334"/>
      <c r="AR8" s="334"/>
      <c r="AS8" s="368"/>
      <c r="AT8" s="336" t="s">
        <v>46</v>
      </c>
      <c r="AU8" s="337"/>
      <c r="AV8" s="337"/>
      <c r="AW8" s="337"/>
      <c r="AX8" s="337"/>
      <c r="AY8" s="337"/>
      <c r="AZ8" s="338"/>
      <c r="BA8" s="336" t="s">
        <v>47</v>
      </c>
      <c r="BB8" s="337"/>
      <c r="BC8" s="337"/>
      <c r="BD8" s="337"/>
      <c r="BE8" s="337"/>
      <c r="BF8" s="337"/>
      <c r="BG8" s="338"/>
      <c r="BH8" s="333"/>
      <c r="BI8" s="334"/>
      <c r="BJ8" s="334"/>
      <c r="BK8" s="334"/>
      <c r="BL8" s="334"/>
      <c r="BM8" s="334"/>
      <c r="BN8" s="368"/>
      <c r="BO8" s="333"/>
      <c r="BP8" s="334"/>
      <c r="BQ8" s="334"/>
      <c r="BR8" s="334"/>
      <c r="BS8" s="334"/>
      <c r="BT8" s="334"/>
      <c r="BU8" s="335"/>
      <c r="BV8" s="88" t="s">
        <v>48</v>
      </c>
      <c r="CC8" s="72" t="s">
        <v>49</v>
      </c>
      <c r="CD8" s="72" t="s">
        <v>50</v>
      </c>
      <c r="CE8" s="72" t="s">
        <v>51</v>
      </c>
    </row>
    <row r="9" spans="1:74" ht="12" thickBot="1">
      <c r="A9" s="67"/>
      <c r="B9" s="339">
        <v>1</v>
      </c>
      <c r="C9" s="340"/>
      <c r="D9" s="340"/>
      <c r="E9" s="340"/>
      <c r="F9" s="340"/>
      <c r="G9" s="341" t="s">
        <v>154</v>
      </c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2">
        <v>1</v>
      </c>
      <c r="AF9" s="342"/>
      <c r="AG9" s="342"/>
      <c r="AH9" s="343">
        <v>1</v>
      </c>
      <c r="AI9" s="343"/>
      <c r="AJ9" s="343"/>
      <c r="AK9" s="343"/>
      <c r="AL9" s="343"/>
      <c r="AM9" s="344">
        <v>114346.84</v>
      </c>
      <c r="AN9" s="344"/>
      <c r="AO9" s="344"/>
      <c r="AP9" s="344"/>
      <c r="AQ9" s="344"/>
      <c r="AR9" s="344"/>
      <c r="AS9" s="344"/>
      <c r="AT9" s="329">
        <v>3556.19</v>
      </c>
      <c r="AU9" s="329"/>
      <c r="AV9" s="329"/>
      <c r="AW9" s="329"/>
      <c r="AX9" s="329"/>
      <c r="AY9" s="329"/>
      <c r="AZ9" s="329"/>
      <c r="BA9" s="328"/>
      <c r="BB9" s="328"/>
      <c r="BC9" s="328"/>
      <c r="BD9" s="328"/>
      <c r="BE9" s="328"/>
      <c r="BF9" s="328"/>
      <c r="BG9" s="328"/>
      <c r="BH9" s="328">
        <v>0</v>
      </c>
      <c r="BI9" s="328"/>
      <c r="BJ9" s="328"/>
      <c r="BK9" s="328"/>
      <c r="BL9" s="328"/>
      <c r="BM9" s="328"/>
      <c r="BN9" s="328"/>
      <c r="BO9" s="328">
        <f>AM9+AT9</f>
        <v>117903.03</v>
      </c>
      <c r="BP9" s="328"/>
      <c r="BQ9" s="328"/>
      <c r="BR9" s="328"/>
      <c r="BS9" s="328"/>
      <c r="BT9" s="328"/>
      <c r="BU9" s="328"/>
      <c r="BV9" s="90">
        <f aca="true" t="shared" si="0" ref="BV9:BV23">IF(BO9=0,0,BO9*100/$BO$23)</f>
        <v>27.591723421347503</v>
      </c>
    </row>
    <row r="10" spans="1:74" ht="29.25" customHeight="1" thickBot="1">
      <c r="A10" s="67"/>
      <c r="B10" s="339">
        <f aca="true" t="shared" si="1" ref="B10:B16">B9+0.1</f>
        <v>1.1</v>
      </c>
      <c r="C10" s="340"/>
      <c r="D10" s="340"/>
      <c r="E10" s="340"/>
      <c r="F10" s="340"/>
      <c r="G10" s="341" t="s">
        <v>159</v>
      </c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2">
        <v>1</v>
      </c>
      <c r="AF10" s="342"/>
      <c r="AG10" s="342"/>
      <c r="AH10" s="343">
        <v>1</v>
      </c>
      <c r="AI10" s="343"/>
      <c r="AJ10" s="343"/>
      <c r="AK10" s="343"/>
      <c r="AL10" s="343"/>
      <c r="AM10" s="344"/>
      <c r="AN10" s="344"/>
      <c r="AO10" s="344"/>
      <c r="AP10" s="344"/>
      <c r="AQ10" s="344"/>
      <c r="AR10" s="344"/>
      <c r="AS10" s="344"/>
      <c r="AT10" s="329"/>
      <c r="AU10" s="329"/>
      <c r="AV10" s="329"/>
      <c r="AW10" s="329"/>
      <c r="AX10" s="329"/>
      <c r="AY10" s="329"/>
      <c r="AZ10" s="329"/>
      <c r="BA10" s="328"/>
      <c r="BB10" s="328"/>
      <c r="BC10" s="328"/>
      <c r="BD10" s="328"/>
      <c r="BE10" s="328"/>
      <c r="BF10" s="328"/>
      <c r="BG10" s="328"/>
      <c r="BH10" s="328">
        <v>0</v>
      </c>
      <c r="BI10" s="328"/>
      <c r="BJ10" s="328"/>
      <c r="BK10" s="328"/>
      <c r="BL10" s="328"/>
      <c r="BM10" s="328"/>
      <c r="BN10" s="328"/>
      <c r="BO10" s="328">
        <f>AM10+AT10</f>
        <v>0</v>
      </c>
      <c r="BP10" s="328"/>
      <c r="BQ10" s="328"/>
      <c r="BR10" s="328"/>
      <c r="BS10" s="328"/>
      <c r="BT10" s="328"/>
      <c r="BU10" s="328"/>
      <c r="BV10" s="90">
        <f t="shared" si="0"/>
        <v>0</v>
      </c>
    </row>
    <row r="11" spans="1:74" ht="29.25" customHeight="1" thickBot="1">
      <c r="A11" s="67"/>
      <c r="B11" s="339">
        <f t="shared" si="1"/>
        <v>1.2000000000000002</v>
      </c>
      <c r="C11" s="340"/>
      <c r="D11" s="340"/>
      <c r="E11" s="340"/>
      <c r="F11" s="340"/>
      <c r="G11" s="341" t="s">
        <v>28</v>
      </c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2">
        <v>1</v>
      </c>
      <c r="AF11" s="342"/>
      <c r="AG11" s="342"/>
      <c r="AH11" s="343">
        <v>1</v>
      </c>
      <c r="AI11" s="343"/>
      <c r="AJ11" s="343"/>
      <c r="AK11" s="343"/>
      <c r="AL11" s="343"/>
      <c r="AM11" s="344">
        <f aca="true" t="shared" si="2" ref="AM11:AM16">BO11-AT11</f>
        <v>914.2662921216471</v>
      </c>
      <c r="AN11" s="344"/>
      <c r="AO11" s="344"/>
      <c r="AP11" s="344"/>
      <c r="AQ11" s="344"/>
      <c r="AR11" s="344"/>
      <c r="AS11" s="344"/>
      <c r="AT11" s="329">
        <f aca="true" t="shared" si="3" ref="AT11:AT16">(3.01619898996*BO11)/100</f>
        <v>28.43370787835292</v>
      </c>
      <c r="AU11" s="329"/>
      <c r="AV11" s="329"/>
      <c r="AW11" s="329"/>
      <c r="AX11" s="329"/>
      <c r="AY11" s="329"/>
      <c r="AZ11" s="329"/>
      <c r="BA11" s="328"/>
      <c r="BB11" s="328"/>
      <c r="BC11" s="328"/>
      <c r="BD11" s="328"/>
      <c r="BE11" s="328"/>
      <c r="BF11" s="328"/>
      <c r="BG11" s="328"/>
      <c r="BH11" s="328">
        <v>0</v>
      </c>
      <c r="BI11" s="328"/>
      <c r="BJ11" s="328"/>
      <c r="BK11" s="328"/>
      <c r="BL11" s="328"/>
      <c r="BM11" s="328"/>
      <c r="BN11" s="328"/>
      <c r="BO11" s="328">
        <v>942.7</v>
      </c>
      <c r="BP11" s="328"/>
      <c r="BQ11" s="328"/>
      <c r="BR11" s="328"/>
      <c r="BS11" s="328"/>
      <c r="BT11" s="328"/>
      <c r="BU11" s="328"/>
      <c r="BV11" s="90">
        <f>IF(BO11=0,0,BO11*100/$BO$23)</f>
        <v>0.22061110447546844</v>
      </c>
    </row>
    <row r="12" spans="1:74" ht="29.25" customHeight="1" thickBot="1">
      <c r="A12" s="67"/>
      <c r="B12" s="339">
        <f t="shared" si="1"/>
        <v>1.3000000000000003</v>
      </c>
      <c r="C12" s="340"/>
      <c r="D12" s="340"/>
      <c r="E12" s="340"/>
      <c r="F12" s="340"/>
      <c r="G12" s="341" t="s">
        <v>200</v>
      </c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2">
        <v>1</v>
      </c>
      <c r="AF12" s="342"/>
      <c r="AG12" s="342"/>
      <c r="AH12" s="343">
        <v>1</v>
      </c>
      <c r="AI12" s="343"/>
      <c r="AJ12" s="343"/>
      <c r="AK12" s="343"/>
      <c r="AL12" s="343"/>
      <c r="AM12" s="344">
        <f t="shared" si="2"/>
        <v>914.2662921216471</v>
      </c>
      <c r="AN12" s="344"/>
      <c r="AO12" s="344"/>
      <c r="AP12" s="344"/>
      <c r="AQ12" s="344"/>
      <c r="AR12" s="344"/>
      <c r="AS12" s="344"/>
      <c r="AT12" s="329">
        <f t="shared" si="3"/>
        <v>28.43370787835292</v>
      </c>
      <c r="AU12" s="329"/>
      <c r="AV12" s="329"/>
      <c r="AW12" s="329"/>
      <c r="AX12" s="329"/>
      <c r="AY12" s="329"/>
      <c r="AZ12" s="329"/>
      <c r="BA12" s="328"/>
      <c r="BB12" s="328"/>
      <c r="BC12" s="328"/>
      <c r="BD12" s="328"/>
      <c r="BE12" s="328"/>
      <c r="BF12" s="328"/>
      <c r="BG12" s="328"/>
      <c r="BH12" s="328">
        <v>0</v>
      </c>
      <c r="BI12" s="328"/>
      <c r="BJ12" s="328"/>
      <c r="BK12" s="328"/>
      <c r="BL12" s="328"/>
      <c r="BM12" s="328"/>
      <c r="BN12" s="328"/>
      <c r="BO12" s="328">
        <v>942.7</v>
      </c>
      <c r="BP12" s="328"/>
      <c r="BQ12" s="328"/>
      <c r="BR12" s="328"/>
      <c r="BS12" s="328"/>
      <c r="BT12" s="328"/>
      <c r="BU12" s="328"/>
      <c r="BV12" s="90">
        <f t="shared" si="0"/>
        <v>0.22061110447546844</v>
      </c>
    </row>
    <row r="13" spans="1:74" ht="29.25" customHeight="1" thickBot="1">
      <c r="A13" s="67"/>
      <c r="B13" s="339">
        <f t="shared" si="1"/>
        <v>1.4000000000000004</v>
      </c>
      <c r="C13" s="340"/>
      <c r="D13" s="340"/>
      <c r="E13" s="340"/>
      <c r="F13" s="340"/>
      <c r="G13" s="341" t="s">
        <v>29</v>
      </c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2">
        <v>1</v>
      </c>
      <c r="AF13" s="342"/>
      <c r="AG13" s="342"/>
      <c r="AH13" s="343">
        <v>1</v>
      </c>
      <c r="AI13" s="343"/>
      <c r="AJ13" s="343"/>
      <c r="AK13" s="343"/>
      <c r="AL13" s="343"/>
      <c r="AM13" s="344">
        <f t="shared" si="2"/>
        <v>914.2662921216471</v>
      </c>
      <c r="AN13" s="344"/>
      <c r="AO13" s="344"/>
      <c r="AP13" s="344"/>
      <c r="AQ13" s="344"/>
      <c r="AR13" s="344"/>
      <c r="AS13" s="344"/>
      <c r="AT13" s="329">
        <f t="shared" si="3"/>
        <v>28.43370787835292</v>
      </c>
      <c r="AU13" s="329"/>
      <c r="AV13" s="329"/>
      <c r="AW13" s="329"/>
      <c r="AX13" s="329"/>
      <c r="AY13" s="329"/>
      <c r="AZ13" s="329"/>
      <c r="BA13" s="328"/>
      <c r="BB13" s="328"/>
      <c r="BC13" s="328"/>
      <c r="BD13" s="328"/>
      <c r="BE13" s="328"/>
      <c r="BF13" s="328"/>
      <c r="BG13" s="328"/>
      <c r="BH13" s="328">
        <v>0</v>
      </c>
      <c r="BI13" s="328"/>
      <c r="BJ13" s="328"/>
      <c r="BK13" s="328"/>
      <c r="BL13" s="328"/>
      <c r="BM13" s="328"/>
      <c r="BN13" s="328"/>
      <c r="BO13" s="328">
        <v>942.7</v>
      </c>
      <c r="BP13" s="328"/>
      <c r="BQ13" s="328"/>
      <c r="BR13" s="328"/>
      <c r="BS13" s="328"/>
      <c r="BT13" s="328"/>
      <c r="BU13" s="328"/>
      <c r="BV13" s="90">
        <f t="shared" si="0"/>
        <v>0.22061110447546844</v>
      </c>
    </row>
    <row r="14" spans="1:74" ht="29.25" customHeight="1" thickBot="1">
      <c r="A14" s="67"/>
      <c r="B14" s="339">
        <f t="shared" si="1"/>
        <v>1.5000000000000004</v>
      </c>
      <c r="C14" s="340"/>
      <c r="D14" s="340"/>
      <c r="E14" s="340"/>
      <c r="F14" s="340"/>
      <c r="G14" s="341" t="s">
        <v>201</v>
      </c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2">
        <v>1</v>
      </c>
      <c r="AF14" s="342"/>
      <c r="AG14" s="342"/>
      <c r="AH14" s="343">
        <v>1</v>
      </c>
      <c r="AI14" s="343"/>
      <c r="AJ14" s="343"/>
      <c r="AK14" s="343"/>
      <c r="AL14" s="343"/>
      <c r="AM14" s="344">
        <f t="shared" si="2"/>
        <v>27876.121812976504</v>
      </c>
      <c r="AN14" s="344"/>
      <c r="AO14" s="344"/>
      <c r="AP14" s="344"/>
      <c r="AQ14" s="344"/>
      <c r="AR14" s="344"/>
      <c r="AS14" s="344"/>
      <c r="AT14" s="329">
        <f t="shared" si="3"/>
        <v>866.9481870234957</v>
      </c>
      <c r="AU14" s="329"/>
      <c r="AV14" s="329"/>
      <c r="AW14" s="329"/>
      <c r="AX14" s="329"/>
      <c r="AY14" s="329"/>
      <c r="AZ14" s="329"/>
      <c r="BA14" s="328"/>
      <c r="BB14" s="328"/>
      <c r="BC14" s="328"/>
      <c r="BD14" s="328"/>
      <c r="BE14" s="328"/>
      <c r="BF14" s="328"/>
      <c r="BG14" s="328"/>
      <c r="BH14" s="328">
        <v>0</v>
      </c>
      <c r="BI14" s="328"/>
      <c r="BJ14" s="328"/>
      <c r="BK14" s="328"/>
      <c r="BL14" s="328"/>
      <c r="BM14" s="328"/>
      <c r="BN14" s="328"/>
      <c r="BO14" s="328">
        <v>28743.07</v>
      </c>
      <c r="BP14" s="328"/>
      <c r="BQ14" s="328"/>
      <c r="BR14" s="328"/>
      <c r="BS14" s="328"/>
      <c r="BT14" s="328"/>
      <c r="BU14" s="328"/>
      <c r="BV14" s="90">
        <f t="shared" si="0"/>
        <v>6.726466976467278</v>
      </c>
    </row>
    <row r="15" spans="1:74" ht="29.25" customHeight="1" thickBot="1">
      <c r="A15" s="67"/>
      <c r="B15" s="339">
        <f t="shared" si="1"/>
        <v>1.6000000000000005</v>
      </c>
      <c r="C15" s="340"/>
      <c r="D15" s="340"/>
      <c r="E15" s="340"/>
      <c r="F15" s="340"/>
      <c r="G15" s="341" t="s">
        <v>202</v>
      </c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2">
        <v>1</v>
      </c>
      <c r="AF15" s="342"/>
      <c r="AG15" s="342"/>
      <c r="AH15" s="343">
        <v>1</v>
      </c>
      <c r="AI15" s="343"/>
      <c r="AJ15" s="343"/>
      <c r="AK15" s="343"/>
      <c r="AL15" s="343"/>
      <c r="AM15" s="344">
        <f t="shared" si="2"/>
        <v>55563.59073622828</v>
      </c>
      <c r="AN15" s="344"/>
      <c r="AO15" s="344"/>
      <c r="AP15" s="344"/>
      <c r="AQ15" s="344"/>
      <c r="AR15" s="344"/>
      <c r="AS15" s="344"/>
      <c r="AT15" s="329">
        <f t="shared" si="3"/>
        <v>1728.0292637717214</v>
      </c>
      <c r="AU15" s="329"/>
      <c r="AV15" s="329"/>
      <c r="AW15" s="329"/>
      <c r="AX15" s="329"/>
      <c r="AY15" s="329"/>
      <c r="AZ15" s="329"/>
      <c r="BA15" s="328"/>
      <c r="BB15" s="328"/>
      <c r="BC15" s="328"/>
      <c r="BD15" s="328"/>
      <c r="BE15" s="328"/>
      <c r="BF15" s="328"/>
      <c r="BG15" s="328"/>
      <c r="BH15" s="328">
        <v>0</v>
      </c>
      <c r="BI15" s="328"/>
      <c r="BJ15" s="328"/>
      <c r="BK15" s="328"/>
      <c r="BL15" s="328"/>
      <c r="BM15" s="328"/>
      <c r="BN15" s="328"/>
      <c r="BO15" s="328">
        <v>57291.62</v>
      </c>
      <c r="BP15" s="328"/>
      <c r="BQ15" s="328"/>
      <c r="BR15" s="328"/>
      <c r="BS15" s="328"/>
      <c r="BT15" s="328"/>
      <c r="BU15" s="328"/>
      <c r="BV15" s="90">
        <f t="shared" si="0"/>
        <v>13.40741228958188</v>
      </c>
    </row>
    <row r="16" spans="1:74" ht="29.25" customHeight="1" thickBot="1">
      <c r="A16" s="67"/>
      <c r="B16" s="339">
        <f t="shared" si="1"/>
        <v>1.7000000000000006</v>
      </c>
      <c r="C16" s="340"/>
      <c r="D16" s="340"/>
      <c r="E16" s="340"/>
      <c r="F16" s="340"/>
      <c r="G16" s="341" t="s">
        <v>203</v>
      </c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2">
        <v>1</v>
      </c>
      <c r="AF16" s="342"/>
      <c r="AG16" s="342"/>
      <c r="AH16" s="343">
        <v>1</v>
      </c>
      <c r="AI16" s="343"/>
      <c r="AJ16" s="343"/>
      <c r="AK16" s="343"/>
      <c r="AL16" s="343"/>
      <c r="AM16" s="344">
        <f t="shared" si="2"/>
        <v>28164.32857443804</v>
      </c>
      <c r="AN16" s="344"/>
      <c r="AO16" s="344"/>
      <c r="AP16" s="344"/>
      <c r="AQ16" s="344"/>
      <c r="AR16" s="344"/>
      <c r="AS16" s="344"/>
      <c r="AT16" s="329">
        <f t="shared" si="3"/>
        <v>875.91142556196</v>
      </c>
      <c r="AU16" s="329"/>
      <c r="AV16" s="329"/>
      <c r="AW16" s="329"/>
      <c r="AX16" s="329"/>
      <c r="AY16" s="329"/>
      <c r="AZ16" s="329"/>
      <c r="BA16" s="328"/>
      <c r="BB16" s="328"/>
      <c r="BC16" s="328"/>
      <c r="BD16" s="328"/>
      <c r="BE16" s="328"/>
      <c r="BF16" s="328"/>
      <c r="BG16" s="328"/>
      <c r="BH16" s="328">
        <v>0</v>
      </c>
      <c r="BI16" s="328"/>
      <c r="BJ16" s="328"/>
      <c r="BK16" s="328"/>
      <c r="BL16" s="328"/>
      <c r="BM16" s="328"/>
      <c r="BN16" s="328"/>
      <c r="BO16" s="328">
        <v>29040.24</v>
      </c>
      <c r="BP16" s="328"/>
      <c r="BQ16" s="328"/>
      <c r="BR16" s="328"/>
      <c r="BS16" s="328"/>
      <c r="BT16" s="328"/>
      <c r="BU16" s="328"/>
      <c r="BV16" s="90">
        <f t="shared" si="0"/>
        <v>6.79601084187194</v>
      </c>
    </row>
    <row r="17" spans="1:83" s="249" customFormat="1" ht="24" customHeight="1" thickBot="1">
      <c r="A17" s="241"/>
      <c r="B17" s="339">
        <v>2</v>
      </c>
      <c r="C17" s="340"/>
      <c r="D17" s="340"/>
      <c r="E17" s="340"/>
      <c r="F17" s="340"/>
      <c r="G17" s="341" t="s">
        <v>155</v>
      </c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2">
        <v>1</v>
      </c>
      <c r="AF17" s="342"/>
      <c r="AG17" s="342"/>
      <c r="AH17" s="343">
        <v>1</v>
      </c>
      <c r="AI17" s="343"/>
      <c r="AJ17" s="343"/>
      <c r="AK17" s="343"/>
      <c r="AL17" s="343"/>
      <c r="AM17" s="344">
        <f aca="true" t="shared" si="4" ref="AM17:AM22">BO17-AT17</f>
        <v>248489.993499885</v>
      </c>
      <c r="AN17" s="344"/>
      <c r="AO17" s="344"/>
      <c r="AP17" s="344"/>
      <c r="AQ17" s="344"/>
      <c r="AR17" s="344"/>
      <c r="AS17" s="344"/>
      <c r="AT17" s="329">
        <f>SUM(AT18+AT19+AT20+AT21+AT22)</f>
        <v>60920.00874361504</v>
      </c>
      <c r="AU17" s="329"/>
      <c r="AV17" s="329"/>
      <c r="AW17" s="329"/>
      <c r="AX17" s="329"/>
      <c r="AY17" s="329"/>
      <c r="AZ17" s="329"/>
      <c r="BA17" s="328"/>
      <c r="BB17" s="328"/>
      <c r="BC17" s="328"/>
      <c r="BD17" s="328"/>
      <c r="BE17" s="328"/>
      <c r="BF17" s="328"/>
      <c r="BG17" s="328"/>
      <c r="BH17" s="328">
        <v>0</v>
      </c>
      <c r="BI17" s="328"/>
      <c r="BJ17" s="328"/>
      <c r="BK17" s="328"/>
      <c r="BL17" s="328"/>
      <c r="BM17" s="328"/>
      <c r="BN17" s="328"/>
      <c r="BO17" s="328">
        <f>'ORÇAMENTO GERAL'!J188</f>
        <v>309410.0022435</v>
      </c>
      <c r="BP17" s="328"/>
      <c r="BQ17" s="328"/>
      <c r="BR17" s="328"/>
      <c r="BS17" s="328"/>
      <c r="BT17" s="328"/>
      <c r="BU17" s="328"/>
      <c r="BV17" s="90">
        <f t="shared" si="0"/>
        <v>72.4082765786525</v>
      </c>
      <c r="BW17" s="242">
        <v>5</v>
      </c>
      <c r="BX17" s="243" t="s">
        <v>52</v>
      </c>
      <c r="BY17" s="244">
        <v>0</v>
      </c>
      <c r="BZ17" s="245"/>
      <c r="CA17" s="246" t="e">
        <f>IF(#REF!&lt;#REF!,#REF!,#REF!)</f>
        <v>#REF!</v>
      </c>
      <c r="CB17" s="247" t="s">
        <v>53</v>
      </c>
      <c r="CC17" s="248">
        <f aca="true" t="shared" si="5" ref="CC17:CC22">AM17/$BO$23*100</f>
        <v>58.15174702144012</v>
      </c>
      <c r="CD17" s="248">
        <f aca="true" t="shared" si="6" ref="CD17:CD22">AT17/$BO$23*100</f>
        <v>14.25652955721238</v>
      </c>
      <c r="CE17" s="248">
        <f aca="true" t="shared" si="7" ref="CE17:CE22">BA17/$BO$23*100</f>
        <v>0</v>
      </c>
    </row>
    <row r="18" spans="1:83" s="99" customFormat="1" ht="39.75" customHeight="1" thickBot="1">
      <c r="A18" s="91"/>
      <c r="B18" s="339">
        <f>B17+0.1</f>
        <v>2.1</v>
      </c>
      <c r="C18" s="340"/>
      <c r="D18" s="340"/>
      <c r="E18" s="340"/>
      <c r="F18" s="340"/>
      <c r="G18" s="341" t="s">
        <v>159</v>
      </c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2">
        <v>1</v>
      </c>
      <c r="AF18" s="342"/>
      <c r="AG18" s="342"/>
      <c r="AH18" s="343">
        <v>1</v>
      </c>
      <c r="AI18" s="343"/>
      <c r="AJ18" s="343"/>
      <c r="AK18" s="343"/>
      <c r="AL18" s="343"/>
      <c r="AM18" s="344">
        <f t="shared" si="4"/>
        <v>25469.36267103999</v>
      </c>
      <c r="AN18" s="344"/>
      <c r="AO18" s="344"/>
      <c r="AP18" s="344"/>
      <c r="AQ18" s="344"/>
      <c r="AR18" s="344"/>
      <c r="AS18" s="344"/>
      <c r="AT18" s="329">
        <f>(23.1174142563*BO18)/100</f>
        <v>7658.246688960013</v>
      </c>
      <c r="AU18" s="329"/>
      <c r="AV18" s="329"/>
      <c r="AW18" s="329"/>
      <c r="AX18" s="329"/>
      <c r="AY18" s="329"/>
      <c r="AZ18" s="329"/>
      <c r="BA18" s="328"/>
      <c r="BB18" s="328"/>
      <c r="BC18" s="328"/>
      <c r="BD18" s="328"/>
      <c r="BE18" s="328"/>
      <c r="BF18" s="328"/>
      <c r="BG18" s="328"/>
      <c r="BH18" s="328">
        <v>0</v>
      </c>
      <c r="BI18" s="328"/>
      <c r="BJ18" s="328"/>
      <c r="BK18" s="328"/>
      <c r="BL18" s="328"/>
      <c r="BM18" s="328"/>
      <c r="BN18" s="328"/>
      <c r="BO18" s="328">
        <f>25700.24+(25700.24*0.289)</f>
        <v>33127.60936</v>
      </c>
      <c r="BP18" s="328"/>
      <c r="BQ18" s="328"/>
      <c r="BR18" s="328"/>
      <c r="BS18" s="328"/>
      <c r="BT18" s="328"/>
      <c r="BU18" s="328"/>
      <c r="BV18" s="90">
        <f t="shared" si="0"/>
        <v>7.75253897267579</v>
      </c>
      <c r="BW18" s="92">
        <v>5</v>
      </c>
      <c r="BX18" s="93" t="s">
        <v>52</v>
      </c>
      <c r="BY18" s="94">
        <v>0</v>
      </c>
      <c r="BZ18" s="95"/>
      <c r="CA18" s="96" t="e">
        <f>IF(#REF!&lt;#REF!,#REF!,#REF!)</f>
        <v>#REF!</v>
      </c>
      <c r="CB18" s="97" t="s">
        <v>53</v>
      </c>
      <c r="CC18" s="98">
        <f t="shared" si="5"/>
        <v>5.960352422981225</v>
      </c>
      <c r="CD18" s="98">
        <f t="shared" si="6"/>
        <v>1.7921865496945664</v>
      </c>
      <c r="CE18" s="98">
        <f t="shared" si="7"/>
        <v>0</v>
      </c>
    </row>
    <row r="19" spans="1:83" s="99" customFormat="1" ht="39.75" customHeight="1" thickBot="1">
      <c r="A19" s="91"/>
      <c r="B19" s="339">
        <f>B18+0.1</f>
        <v>2.2</v>
      </c>
      <c r="C19" s="340"/>
      <c r="D19" s="340"/>
      <c r="E19" s="340"/>
      <c r="F19" s="340"/>
      <c r="G19" s="341" t="s">
        <v>28</v>
      </c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2">
        <v>1</v>
      </c>
      <c r="AF19" s="342"/>
      <c r="AG19" s="342"/>
      <c r="AH19" s="343">
        <v>1</v>
      </c>
      <c r="AI19" s="343"/>
      <c r="AJ19" s="343"/>
      <c r="AK19" s="343"/>
      <c r="AL19" s="343"/>
      <c r="AM19" s="344">
        <f t="shared" si="4"/>
        <v>73803.62720050185</v>
      </c>
      <c r="AN19" s="344"/>
      <c r="AO19" s="344"/>
      <c r="AP19" s="344"/>
      <c r="AQ19" s="344"/>
      <c r="AR19" s="344"/>
      <c r="AS19" s="344"/>
      <c r="AT19" s="329">
        <f>(23.1174142563*BO19)/100</f>
        <v>22191.61864949813</v>
      </c>
      <c r="AU19" s="329"/>
      <c r="AV19" s="329"/>
      <c r="AW19" s="329"/>
      <c r="AX19" s="329"/>
      <c r="AY19" s="329"/>
      <c r="AZ19" s="329"/>
      <c r="BA19" s="328"/>
      <c r="BB19" s="328"/>
      <c r="BC19" s="328"/>
      <c r="BD19" s="328"/>
      <c r="BE19" s="328"/>
      <c r="BF19" s="328"/>
      <c r="BG19" s="328"/>
      <c r="BH19" s="328">
        <v>0</v>
      </c>
      <c r="BI19" s="328"/>
      <c r="BJ19" s="328"/>
      <c r="BK19" s="328"/>
      <c r="BL19" s="328"/>
      <c r="BM19" s="328"/>
      <c r="BN19" s="328"/>
      <c r="BO19" s="328">
        <f>74472.65+(74472.65*0.289)</f>
        <v>95995.24584999999</v>
      </c>
      <c r="BP19" s="328"/>
      <c r="BQ19" s="328"/>
      <c r="BR19" s="328"/>
      <c r="BS19" s="328"/>
      <c r="BT19" s="328"/>
      <c r="BU19" s="328"/>
      <c r="BV19" s="90">
        <f t="shared" si="0"/>
        <v>22.464853305784054</v>
      </c>
      <c r="BW19" s="92">
        <v>5</v>
      </c>
      <c r="BX19" s="93" t="s">
        <v>52</v>
      </c>
      <c r="BY19" s="94">
        <v>0</v>
      </c>
      <c r="BZ19" s="95"/>
      <c r="CA19" s="96" t="e">
        <f>IF(#REF!&lt;#REF!,#REF!,#REF!)</f>
        <v>#REF!</v>
      </c>
      <c r="CB19" s="97" t="s">
        <v>53</v>
      </c>
      <c r="CC19" s="98">
        <f t="shared" si="5"/>
        <v>17.271560105015848</v>
      </c>
      <c r="CD19" s="98">
        <f t="shared" si="6"/>
        <v>5.193293200768204</v>
      </c>
      <c r="CE19" s="98">
        <f t="shared" si="7"/>
        <v>0</v>
      </c>
    </row>
    <row r="20" spans="1:83" s="99" customFormat="1" ht="39.75" customHeight="1" thickBot="1">
      <c r="A20" s="91"/>
      <c r="B20" s="339">
        <f>B19+0.1</f>
        <v>2.3000000000000003</v>
      </c>
      <c r="C20" s="340"/>
      <c r="D20" s="340"/>
      <c r="E20" s="340"/>
      <c r="F20" s="340"/>
      <c r="G20" s="341" t="s">
        <v>200</v>
      </c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2">
        <v>1</v>
      </c>
      <c r="AF20" s="342"/>
      <c r="AG20" s="342"/>
      <c r="AH20" s="343">
        <v>1</v>
      </c>
      <c r="AI20" s="343"/>
      <c r="AJ20" s="343"/>
      <c r="AK20" s="343"/>
      <c r="AL20" s="343"/>
      <c r="AM20" s="344">
        <f t="shared" si="4"/>
        <v>40625.28568306799</v>
      </c>
      <c r="AN20" s="344"/>
      <c r="AO20" s="344"/>
      <c r="AP20" s="344"/>
      <c r="AQ20" s="344"/>
      <c r="AR20" s="344"/>
      <c r="AS20" s="344"/>
      <c r="AT20" s="329">
        <f>(23.1174142563*BO20)/100</f>
        <v>12215.400266932009</v>
      </c>
      <c r="AU20" s="329"/>
      <c r="AV20" s="329"/>
      <c r="AW20" s="329"/>
      <c r="AX20" s="329"/>
      <c r="AY20" s="329"/>
      <c r="AZ20" s="329"/>
      <c r="BA20" s="328"/>
      <c r="BB20" s="328"/>
      <c r="BC20" s="328"/>
      <c r="BD20" s="328"/>
      <c r="BE20" s="328"/>
      <c r="BF20" s="328"/>
      <c r="BG20" s="328"/>
      <c r="BH20" s="328">
        <v>0</v>
      </c>
      <c r="BI20" s="328"/>
      <c r="BJ20" s="328"/>
      <c r="BK20" s="328"/>
      <c r="BL20" s="328"/>
      <c r="BM20" s="328"/>
      <c r="BN20" s="328"/>
      <c r="BO20" s="328">
        <f>40993.55+(40993.55*0.289)</f>
        <v>52840.68595</v>
      </c>
      <c r="BP20" s="328"/>
      <c r="BQ20" s="328"/>
      <c r="BR20" s="328"/>
      <c r="BS20" s="328"/>
      <c r="BT20" s="328"/>
      <c r="BU20" s="328"/>
      <c r="BV20" s="90">
        <f t="shared" si="0"/>
        <v>12.365802576292424</v>
      </c>
      <c r="BW20" s="92">
        <v>5</v>
      </c>
      <c r="BX20" s="93" t="s">
        <v>52</v>
      </c>
      <c r="BY20" s="94">
        <v>0</v>
      </c>
      <c r="BZ20" s="95"/>
      <c r="CA20" s="96" t="e">
        <f>IF(#REF!&lt;#REF!,#REF!,#REF!)</f>
        <v>#REF!</v>
      </c>
      <c r="CB20" s="97" t="s">
        <v>53</v>
      </c>
      <c r="CC20" s="98">
        <f t="shared" si="5"/>
        <v>9.507148768614687</v>
      </c>
      <c r="CD20" s="98">
        <f t="shared" si="6"/>
        <v>2.858653807677737</v>
      </c>
      <c r="CE20" s="98">
        <f t="shared" si="7"/>
        <v>0</v>
      </c>
    </row>
    <row r="21" spans="1:83" s="99" customFormat="1" ht="34.5" thickBot="1">
      <c r="A21" s="91"/>
      <c r="B21" s="339">
        <f>B20+0.1</f>
        <v>2.4000000000000004</v>
      </c>
      <c r="C21" s="340"/>
      <c r="D21" s="340"/>
      <c r="E21" s="340"/>
      <c r="F21" s="340"/>
      <c r="G21" s="341" t="s">
        <v>29</v>
      </c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2">
        <v>1</v>
      </c>
      <c r="AF21" s="342"/>
      <c r="AG21" s="342"/>
      <c r="AH21" s="343">
        <v>1</v>
      </c>
      <c r="AI21" s="343"/>
      <c r="AJ21" s="343"/>
      <c r="AK21" s="343"/>
      <c r="AL21" s="343"/>
      <c r="AM21" s="344">
        <f t="shared" si="4"/>
        <v>50191.8754645633</v>
      </c>
      <c r="AN21" s="344"/>
      <c r="AO21" s="344"/>
      <c r="AP21" s="344"/>
      <c r="AQ21" s="344"/>
      <c r="AR21" s="344"/>
      <c r="AS21" s="344"/>
      <c r="AT21" s="329">
        <f>(23.1174142563*BO21)/100</f>
        <v>15091.927075436703</v>
      </c>
      <c r="AU21" s="329"/>
      <c r="AV21" s="329"/>
      <c r="AW21" s="329"/>
      <c r="AX21" s="329"/>
      <c r="AY21" s="329"/>
      <c r="AZ21" s="329"/>
      <c r="BA21" s="328"/>
      <c r="BB21" s="328"/>
      <c r="BC21" s="328"/>
      <c r="BD21" s="328"/>
      <c r="BE21" s="328"/>
      <c r="BF21" s="328"/>
      <c r="BG21" s="328"/>
      <c r="BH21" s="328">
        <v>0</v>
      </c>
      <c r="BI21" s="328"/>
      <c r="BJ21" s="328"/>
      <c r="BK21" s="328"/>
      <c r="BL21" s="328"/>
      <c r="BM21" s="328"/>
      <c r="BN21" s="328"/>
      <c r="BO21" s="328">
        <f>50646.86+(50646.86*0.289)</f>
        <v>65283.802540000004</v>
      </c>
      <c r="BP21" s="328"/>
      <c r="BQ21" s="328"/>
      <c r="BR21" s="328"/>
      <c r="BS21" s="328"/>
      <c r="BT21" s="328"/>
      <c r="BU21" s="328"/>
      <c r="BV21" s="90">
        <f t="shared" si="0"/>
        <v>15.277746666710295</v>
      </c>
      <c r="BW21" s="92">
        <v>5</v>
      </c>
      <c r="BX21" s="93" t="s">
        <v>52</v>
      </c>
      <c r="BY21" s="94">
        <v>0</v>
      </c>
      <c r="BZ21" s="95"/>
      <c r="CA21" s="96" t="e">
        <f>IF(#REF!&lt;#REF!,#REF!,#REF!)</f>
        <v>#REF!</v>
      </c>
      <c r="CB21" s="97" t="s">
        <v>53</v>
      </c>
      <c r="CC21" s="98">
        <f t="shared" si="5"/>
        <v>11.74592668073881</v>
      </c>
      <c r="CD21" s="98">
        <f t="shared" si="6"/>
        <v>3.5318199859714836</v>
      </c>
      <c r="CE21" s="98">
        <f t="shared" si="7"/>
        <v>0</v>
      </c>
    </row>
    <row r="22" spans="1:83" s="99" customFormat="1" ht="34.5" thickBot="1">
      <c r="A22" s="91"/>
      <c r="B22" s="339">
        <v>3</v>
      </c>
      <c r="C22" s="340"/>
      <c r="D22" s="340"/>
      <c r="E22" s="340"/>
      <c r="F22" s="340"/>
      <c r="G22" s="341" t="s">
        <v>100</v>
      </c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2">
        <v>1</v>
      </c>
      <c r="AF22" s="342"/>
      <c r="AG22" s="342"/>
      <c r="AH22" s="343">
        <v>1</v>
      </c>
      <c r="AI22" s="343"/>
      <c r="AJ22" s="343"/>
      <c r="AK22" s="343"/>
      <c r="AL22" s="343"/>
      <c r="AM22" s="344">
        <f t="shared" si="4"/>
        <v>12514.160337211813</v>
      </c>
      <c r="AN22" s="344"/>
      <c r="AO22" s="344"/>
      <c r="AP22" s="344"/>
      <c r="AQ22" s="344"/>
      <c r="AR22" s="344"/>
      <c r="AS22" s="344"/>
      <c r="AT22" s="329">
        <f>(23.1174142563*BO22)/100</f>
        <v>3762.816062788186</v>
      </c>
      <c r="AU22" s="329"/>
      <c r="AV22" s="329"/>
      <c r="AW22" s="329"/>
      <c r="AX22" s="329"/>
      <c r="AY22" s="329"/>
      <c r="AZ22" s="329"/>
      <c r="BA22" s="328"/>
      <c r="BB22" s="328"/>
      <c r="BC22" s="328"/>
      <c r="BD22" s="328"/>
      <c r="BE22" s="328"/>
      <c r="BF22" s="328"/>
      <c r="BG22" s="328"/>
      <c r="BH22" s="328">
        <v>0</v>
      </c>
      <c r="BI22" s="328"/>
      <c r="BJ22" s="328"/>
      <c r="BK22" s="328"/>
      <c r="BL22" s="328"/>
      <c r="BM22" s="328"/>
      <c r="BN22" s="328"/>
      <c r="BO22" s="328">
        <f>12627.6+(12627.6*0.289)</f>
        <v>16276.9764</v>
      </c>
      <c r="BP22" s="328"/>
      <c r="BQ22" s="328"/>
      <c r="BR22" s="328"/>
      <c r="BS22" s="328"/>
      <c r="BT22" s="328"/>
      <c r="BU22" s="328"/>
      <c r="BV22" s="90">
        <f t="shared" si="0"/>
        <v>3.809145795189492</v>
      </c>
      <c r="BW22" s="92">
        <v>5</v>
      </c>
      <c r="BX22" s="93" t="s">
        <v>52</v>
      </c>
      <c r="BY22" s="94">
        <v>0</v>
      </c>
      <c r="BZ22" s="95"/>
      <c r="CA22" s="96" t="e">
        <f>IF(#REF!&lt;#REF!,#REF!,#REF!)</f>
        <v>#REF!</v>
      </c>
      <c r="CB22" s="97" t="s">
        <v>53</v>
      </c>
      <c r="CC22" s="98">
        <f t="shared" si="5"/>
        <v>2.9285697820891046</v>
      </c>
      <c r="CD22" s="98">
        <f t="shared" si="6"/>
        <v>0.8805760131003877</v>
      </c>
      <c r="CE22" s="98">
        <f t="shared" si="7"/>
        <v>0</v>
      </c>
    </row>
    <row r="23" spans="1:84" s="102" customFormat="1" ht="23.25" customHeight="1" thickBot="1">
      <c r="A23" s="66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317" t="s">
        <v>54</v>
      </c>
      <c r="AF23" s="318"/>
      <c r="AG23" s="318"/>
      <c r="AH23" s="318"/>
      <c r="AI23" s="318"/>
      <c r="AJ23" s="318"/>
      <c r="AK23" s="318"/>
      <c r="AL23" s="318"/>
      <c r="AM23" s="319">
        <f>AM9+AM17</f>
        <v>362836.833499885</v>
      </c>
      <c r="AN23" s="320"/>
      <c r="AO23" s="320"/>
      <c r="AP23" s="320"/>
      <c r="AQ23" s="320"/>
      <c r="AR23" s="320"/>
      <c r="AS23" s="320"/>
      <c r="AT23" s="321">
        <f>AT9+AT17</f>
        <v>64476.198743615045</v>
      </c>
      <c r="AU23" s="322"/>
      <c r="AV23" s="322"/>
      <c r="AW23" s="322"/>
      <c r="AX23" s="322"/>
      <c r="AY23" s="322"/>
      <c r="AZ23" s="323"/>
      <c r="BA23" s="320"/>
      <c r="BB23" s="320"/>
      <c r="BC23" s="320"/>
      <c r="BD23" s="320"/>
      <c r="BE23" s="320"/>
      <c r="BF23" s="320"/>
      <c r="BG23" s="324"/>
      <c r="BH23" s="325"/>
      <c r="BI23" s="326"/>
      <c r="BJ23" s="326"/>
      <c r="BK23" s="326"/>
      <c r="BL23" s="326"/>
      <c r="BM23" s="326"/>
      <c r="BN23" s="327"/>
      <c r="BO23" s="319">
        <f>BO9+BO17</f>
        <v>427313.0322435</v>
      </c>
      <c r="BP23" s="320"/>
      <c r="BQ23" s="320"/>
      <c r="BR23" s="320"/>
      <c r="BS23" s="320"/>
      <c r="BT23" s="320"/>
      <c r="BU23" s="324"/>
      <c r="BV23" s="101">
        <f t="shared" si="0"/>
        <v>100</v>
      </c>
      <c r="BX23" s="103"/>
      <c r="BY23" s="104"/>
      <c r="BZ23" s="104"/>
      <c r="CA23" s="104"/>
      <c r="CC23" s="105" t="e">
        <f>SUM(#REF!)</f>
        <v>#REF!</v>
      </c>
      <c r="CD23" s="105" t="e">
        <f>SUM(#REF!)</f>
        <v>#REF!</v>
      </c>
      <c r="CE23" s="105" t="e">
        <f>SUM(#REF!)</f>
        <v>#REF!</v>
      </c>
      <c r="CF23" s="106" t="e">
        <f>SUM(CC23:CE23)</f>
        <v>#REF!</v>
      </c>
    </row>
    <row r="24" spans="1:84" ht="9.75" customHeight="1">
      <c r="A24" s="6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X24" s="108"/>
      <c r="BY24" s="109"/>
      <c r="BZ24" s="109"/>
      <c r="CA24" s="109"/>
      <c r="CC24" s="110"/>
      <c r="CD24" s="110"/>
      <c r="CE24" s="110"/>
      <c r="CF24" s="111"/>
    </row>
    <row r="25" spans="1:84" ht="9.75" customHeight="1">
      <c r="A25" s="6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X25" s="108"/>
      <c r="BY25" s="109"/>
      <c r="BZ25" s="109"/>
      <c r="CA25" s="109"/>
      <c r="CC25" s="110"/>
      <c r="CD25" s="110"/>
      <c r="CE25" s="110"/>
      <c r="CF25" s="111"/>
    </row>
    <row r="26" spans="1:83" s="114" customFormat="1" ht="39" customHeight="1">
      <c r="A26" s="67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3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67"/>
      <c r="BO26" s="311"/>
      <c r="BP26" s="312"/>
      <c r="BQ26" s="312"/>
      <c r="BR26" s="312"/>
      <c r="BS26" s="312"/>
      <c r="BT26" s="312"/>
      <c r="BU26" s="312"/>
      <c r="BX26" s="68"/>
      <c r="BY26" s="67"/>
      <c r="BZ26" s="67"/>
      <c r="CA26" s="67"/>
      <c r="CC26" s="86"/>
      <c r="CD26" s="86"/>
      <c r="CE26" s="86"/>
    </row>
    <row r="27" spans="1:74" s="113" customFormat="1" ht="19.5" customHeight="1">
      <c r="A27" s="115"/>
      <c r="C27" s="313" t="s">
        <v>222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116"/>
      <c r="AA27" s="314" t="s">
        <v>117</v>
      </c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BA27" s="117"/>
      <c r="BB27" s="315" t="s">
        <v>218</v>
      </c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</row>
    <row r="28" spans="1:74" s="121" customFormat="1" ht="15.75" customHeight="1">
      <c r="A28" s="118"/>
      <c r="B28" s="119"/>
      <c r="C28" s="120" t="s">
        <v>55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AA28" s="316" t="s">
        <v>139</v>
      </c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BB28" s="316" t="s">
        <v>56</v>
      </c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</row>
    <row r="29" spans="1:83" s="114" customFormat="1" ht="9.75" customHeight="1">
      <c r="A29" s="67"/>
      <c r="B29" s="85"/>
      <c r="C29" s="85"/>
      <c r="D29" s="85"/>
      <c r="E29" s="85"/>
      <c r="F29" s="85"/>
      <c r="G29" s="86"/>
      <c r="H29" s="86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67"/>
      <c r="BX29" s="122"/>
      <c r="CC29" s="86"/>
      <c r="CD29" s="86"/>
      <c r="CE29" s="86"/>
    </row>
    <row r="30" spans="1:83" s="114" customFormat="1" ht="9.75" customHeight="1">
      <c r="A30" s="67"/>
      <c r="G30" s="86"/>
      <c r="H30" s="86"/>
      <c r="BL30" s="67"/>
      <c r="BX30" s="122"/>
      <c r="CC30" s="86"/>
      <c r="CD30" s="86"/>
      <c r="CE30" s="86"/>
    </row>
    <row r="31" ht="9.75" customHeight="1">
      <c r="BL31" s="71"/>
    </row>
    <row r="32" ht="9.75" customHeight="1">
      <c r="BL32" s="71"/>
    </row>
    <row r="33" ht="9.75" customHeight="1">
      <c r="BL33" s="71"/>
    </row>
  </sheetData>
  <sheetProtection/>
  <mergeCells count="154">
    <mergeCell ref="BH16:BN16"/>
    <mergeCell ref="BO16:BU16"/>
    <mergeCell ref="BA15:BG15"/>
    <mergeCell ref="BH15:BN15"/>
    <mergeCell ref="BO15:BU15"/>
    <mergeCell ref="B16:F16"/>
    <mergeCell ref="G16:AD16"/>
    <mergeCell ref="AE16:AG16"/>
    <mergeCell ref="AH16:AL16"/>
    <mergeCell ref="AM16:AS16"/>
    <mergeCell ref="AT16:AZ16"/>
    <mergeCell ref="BA16:BG16"/>
    <mergeCell ref="B15:F15"/>
    <mergeCell ref="G15:AD15"/>
    <mergeCell ref="AE15:AG15"/>
    <mergeCell ref="AH15:AL15"/>
    <mergeCell ref="AM15:AS15"/>
    <mergeCell ref="AT15:AZ15"/>
    <mergeCell ref="B13:F13"/>
    <mergeCell ref="G13:AD13"/>
    <mergeCell ref="AE13:AG13"/>
    <mergeCell ref="AH13:AL13"/>
    <mergeCell ref="AM13:AS13"/>
    <mergeCell ref="AT13:AZ13"/>
    <mergeCell ref="BH22:BN22"/>
    <mergeCell ref="BO22:BU22"/>
    <mergeCell ref="BA13:BG13"/>
    <mergeCell ref="BH13:BN13"/>
    <mergeCell ref="BO13:BU13"/>
    <mergeCell ref="B14:F14"/>
    <mergeCell ref="G14:AD14"/>
    <mergeCell ref="AE14:AG14"/>
    <mergeCell ref="AH14:AL14"/>
    <mergeCell ref="AM14:AS14"/>
    <mergeCell ref="BA21:BG21"/>
    <mergeCell ref="BH21:BN21"/>
    <mergeCell ref="BO21:BU21"/>
    <mergeCell ref="B22:F22"/>
    <mergeCell ref="G22:AD22"/>
    <mergeCell ref="AE22:AG22"/>
    <mergeCell ref="AH22:AL22"/>
    <mergeCell ref="AM22:AS22"/>
    <mergeCell ref="AT22:AZ22"/>
    <mergeCell ref="BA22:BG22"/>
    <mergeCell ref="B21:F21"/>
    <mergeCell ref="G21:AD21"/>
    <mergeCell ref="AE21:AG21"/>
    <mergeCell ref="AH21:AL21"/>
    <mergeCell ref="AM21:AS21"/>
    <mergeCell ref="AT21:AZ21"/>
    <mergeCell ref="BO19:BU19"/>
    <mergeCell ref="B20:F20"/>
    <mergeCell ref="G20:AD20"/>
    <mergeCell ref="AE20:AG20"/>
    <mergeCell ref="AH20:AL20"/>
    <mergeCell ref="AM20:AS20"/>
    <mergeCell ref="AT20:AZ20"/>
    <mergeCell ref="BA20:BG20"/>
    <mergeCell ref="BH20:BN20"/>
    <mergeCell ref="BO20:BU20"/>
    <mergeCell ref="BH18:BN18"/>
    <mergeCell ref="BO18:BU18"/>
    <mergeCell ref="B19:F19"/>
    <mergeCell ref="G19:AD19"/>
    <mergeCell ref="AE19:AG19"/>
    <mergeCell ref="AH19:AL19"/>
    <mergeCell ref="AM19:AS19"/>
    <mergeCell ref="AT19:AZ19"/>
    <mergeCell ref="BA19:BG19"/>
    <mergeCell ref="BH19:BN19"/>
    <mergeCell ref="BA17:BG17"/>
    <mergeCell ref="BH17:BN17"/>
    <mergeCell ref="BO17:BU17"/>
    <mergeCell ref="B18:F18"/>
    <mergeCell ref="G18:AD18"/>
    <mergeCell ref="AE18:AG18"/>
    <mergeCell ref="AH18:AL18"/>
    <mergeCell ref="AM18:AS18"/>
    <mergeCell ref="AT18:AZ18"/>
    <mergeCell ref="BA18:BG18"/>
    <mergeCell ref="B17:F17"/>
    <mergeCell ref="G17:AD17"/>
    <mergeCell ref="AE17:AG17"/>
    <mergeCell ref="AH17:AL17"/>
    <mergeCell ref="AM17:AS17"/>
    <mergeCell ref="AT17:AZ17"/>
    <mergeCell ref="G10:AD10"/>
    <mergeCell ref="BO12:BU12"/>
    <mergeCell ref="BH11:BN11"/>
    <mergeCell ref="BO11:BU11"/>
    <mergeCell ref="B12:F12"/>
    <mergeCell ref="G12:AD12"/>
    <mergeCell ref="AE12:AG12"/>
    <mergeCell ref="AH12:AL12"/>
    <mergeCell ref="AM12:AS12"/>
    <mergeCell ref="AT12:AZ12"/>
    <mergeCell ref="B11:F11"/>
    <mergeCell ref="G11:AD11"/>
    <mergeCell ref="AE11:AG11"/>
    <mergeCell ref="AH11:AL11"/>
    <mergeCell ref="AM11:AS11"/>
    <mergeCell ref="AT11:AZ11"/>
    <mergeCell ref="AE10:AG10"/>
    <mergeCell ref="AH10:AL10"/>
    <mergeCell ref="AM10:AS10"/>
    <mergeCell ref="AT10:AZ10"/>
    <mergeCell ref="B1:BA1"/>
    <mergeCell ref="BB1:BI1"/>
    <mergeCell ref="BH7:BN8"/>
    <mergeCell ref="BH9:BN9"/>
    <mergeCell ref="BH10:BN10"/>
    <mergeCell ref="B10:F10"/>
    <mergeCell ref="BJ1:BU1"/>
    <mergeCell ref="R4:AP4"/>
    <mergeCell ref="AQ4:AY4"/>
    <mergeCell ref="AZ4:BV4"/>
    <mergeCell ref="B7:F8"/>
    <mergeCell ref="G7:AD8"/>
    <mergeCell ref="AE7:AG8"/>
    <mergeCell ref="AH7:AL8"/>
    <mergeCell ref="AM7:AS8"/>
    <mergeCell ref="AT7:BG7"/>
    <mergeCell ref="BO7:BU8"/>
    <mergeCell ref="AT8:AZ8"/>
    <mergeCell ref="BA8:BG8"/>
    <mergeCell ref="B9:F9"/>
    <mergeCell ref="G9:AD9"/>
    <mergeCell ref="AE9:AG9"/>
    <mergeCell ref="AH9:AL9"/>
    <mergeCell ref="AM9:AS9"/>
    <mergeCell ref="AT9:AZ9"/>
    <mergeCell ref="BA9:BG9"/>
    <mergeCell ref="BO9:BU9"/>
    <mergeCell ref="AT14:AZ14"/>
    <mergeCell ref="BA14:BG14"/>
    <mergeCell ref="BH14:BN14"/>
    <mergeCell ref="BO14:BU14"/>
    <mergeCell ref="BA11:BG11"/>
    <mergeCell ref="BH12:BN12"/>
    <mergeCell ref="BA10:BG10"/>
    <mergeCell ref="BO10:BU10"/>
    <mergeCell ref="BA12:BG12"/>
    <mergeCell ref="AE23:AL23"/>
    <mergeCell ref="AM23:AS23"/>
    <mergeCell ref="AT23:AZ23"/>
    <mergeCell ref="BA23:BG23"/>
    <mergeCell ref="BH23:BN23"/>
    <mergeCell ref="BO23:BU23"/>
    <mergeCell ref="BO26:BU26"/>
    <mergeCell ref="C27:Y27"/>
    <mergeCell ref="AA27:AY27"/>
    <mergeCell ref="BB27:BV27"/>
    <mergeCell ref="AA28:AY28"/>
    <mergeCell ref="BB28:BV2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scale="76" r:id="rId3"/>
  <legacyDrawing r:id="rId2"/>
  <oleObjects>
    <oleObject progId="CorelDraw.Graphic.8" shapeId="27912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B16">
      <selection activeCell="C37" sqref="C37"/>
    </sheetView>
  </sheetViews>
  <sheetFormatPr defaultColWidth="8.8515625" defaultRowHeight="15"/>
  <cols>
    <col min="1" max="1" width="3.7109375" style="123" hidden="1" customWidth="1"/>
    <col min="2" max="2" width="15.00390625" style="123" customWidth="1"/>
    <col min="3" max="3" width="42.421875" style="123" customWidth="1"/>
    <col min="4" max="4" width="9.57421875" style="123" hidden="1" customWidth="1"/>
    <col min="5" max="5" width="9.7109375" style="133" customWidth="1"/>
    <col min="6" max="6" width="11.7109375" style="123" customWidth="1"/>
    <col min="7" max="7" width="18.57421875" style="123" customWidth="1"/>
    <col min="8" max="8" width="3.7109375" style="123" customWidth="1"/>
    <col min="9" max="9" width="13.00390625" style="123" customWidth="1"/>
    <col min="10" max="11" width="8.8515625" style="123" customWidth="1"/>
    <col min="12" max="12" width="5.7109375" style="123" customWidth="1"/>
    <col min="13" max="16384" width="8.8515625" style="123" customWidth="1"/>
  </cols>
  <sheetData>
    <row r="1" spans="2:7" ht="76.5" customHeight="1">
      <c r="B1" s="378"/>
      <c r="C1" s="378"/>
      <c r="D1" s="378"/>
      <c r="E1" s="378"/>
      <c r="F1" s="378"/>
      <c r="G1" s="378"/>
    </row>
    <row r="2" spans="2:7" ht="15" customHeight="1">
      <c r="B2" s="208" t="s">
        <v>109</v>
      </c>
      <c r="C2" s="208"/>
      <c r="D2" s="208"/>
      <c r="E2" s="208"/>
      <c r="F2" s="125"/>
      <c r="G2" s="125"/>
    </row>
    <row r="3" spans="2:7" ht="16.5" customHeight="1">
      <c r="B3" s="273" t="s">
        <v>110</v>
      </c>
      <c r="C3" s="273"/>
      <c r="D3" s="273"/>
      <c r="E3" s="273"/>
      <c r="F3" s="125"/>
      <c r="G3" s="125"/>
    </row>
    <row r="4" spans="2:7" ht="15.75" customHeight="1">
      <c r="B4" s="185" t="s">
        <v>107</v>
      </c>
      <c r="C4" s="190" t="s">
        <v>108</v>
      </c>
      <c r="D4" s="126"/>
      <c r="E4" s="124"/>
      <c r="F4" s="125"/>
      <c r="G4" s="125"/>
    </row>
    <row r="5" spans="2:7" ht="16.5" customHeight="1">
      <c r="B5" s="276" t="s">
        <v>169</v>
      </c>
      <c r="C5" s="276"/>
      <c r="D5" s="276"/>
      <c r="E5" s="276"/>
      <c r="F5" s="125"/>
      <c r="G5" s="125"/>
    </row>
    <row r="6" spans="2:7" ht="16.5" customHeight="1">
      <c r="B6" s="286" t="s">
        <v>217</v>
      </c>
      <c r="C6" s="287"/>
      <c r="D6" s="287"/>
      <c r="E6" s="287"/>
      <c r="F6" s="287"/>
      <c r="G6" s="287"/>
    </row>
    <row r="7" spans="2:9" ht="8.25" customHeight="1">
      <c r="B7" s="128"/>
      <c r="C7" s="128"/>
      <c r="D7" s="128"/>
      <c r="E7" s="129"/>
      <c r="F7" s="128"/>
      <c r="G7" s="128"/>
      <c r="I7" s="127"/>
    </row>
    <row r="8" spans="2:9" ht="15.75">
      <c r="B8" s="130" t="s">
        <v>58</v>
      </c>
      <c r="C8" s="131">
        <f>'ORÇAMENTO GERAL'!J184</f>
        <v>240038.79150000002</v>
      </c>
      <c r="E8" s="379"/>
      <c r="F8" s="379"/>
      <c r="G8" s="132"/>
      <c r="I8" s="132"/>
    </row>
    <row r="9" ht="8.25" customHeight="1">
      <c r="I9" s="127" t="s">
        <v>57</v>
      </c>
    </row>
    <row r="10" spans="1:8" ht="12.75">
      <c r="A10" s="134"/>
      <c r="B10" s="380" t="s">
        <v>59</v>
      </c>
      <c r="C10" s="380" t="s">
        <v>60</v>
      </c>
      <c r="D10" s="135" t="s">
        <v>48</v>
      </c>
      <c r="E10" s="381" t="s">
        <v>48</v>
      </c>
      <c r="F10" s="135" t="s">
        <v>61</v>
      </c>
      <c r="G10" s="135" t="s">
        <v>62</v>
      </c>
      <c r="H10" s="127" t="s">
        <v>57</v>
      </c>
    </row>
    <row r="11" spans="1:13" ht="12.75">
      <c r="A11" s="134"/>
      <c r="B11" s="380"/>
      <c r="C11" s="380"/>
      <c r="D11" s="135" t="s">
        <v>63</v>
      </c>
      <c r="E11" s="381"/>
      <c r="F11" s="135" t="s">
        <v>64</v>
      </c>
      <c r="G11" s="135" t="s">
        <v>64</v>
      </c>
      <c r="I11" s="375"/>
      <c r="J11" s="375"/>
      <c r="K11" s="375"/>
      <c r="L11" s="375"/>
      <c r="M11" s="375"/>
    </row>
    <row r="12" spans="1:7" ht="12" customHeight="1">
      <c r="A12" s="136"/>
      <c r="B12" s="137"/>
      <c r="C12" s="137"/>
      <c r="D12" s="138"/>
      <c r="E12" s="139"/>
      <c r="F12" s="138"/>
      <c r="G12" s="138"/>
    </row>
    <row r="13" spans="1:16" ht="17.25" customHeight="1">
      <c r="A13" s="136"/>
      <c r="B13" s="140" t="s">
        <v>65</v>
      </c>
      <c r="C13" s="141" t="s">
        <v>66</v>
      </c>
      <c r="D13" s="142" t="s">
        <v>57</v>
      </c>
      <c r="E13" s="143">
        <v>0.031</v>
      </c>
      <c r="F13" s="136" t="s">
        <v>57</v>
      </c>
      <c r="G13" s="144">
        <f>E13*C8</f>
        <v>7441.202536500001</v>
      </c>
      <c r="H13" s="123" t="s">
        <v>57</v>
      </c>
      <c r="J13" s="145"/>
      <c r="K13" s="146"/>
      <c r="L13" s="126"/>
      <c r="M13" s="126"/>
      <c r="N13" s="126"/>
      <c r="O13" s="126"/>
      <c r="P13" s="126"/>
    </row>
    <row r="14" spans="1:13" ht="11.25" customHeight="1">
      <c r="A14" s="136"/>
      <c r="B14" s="137" t="s">
        <v>57</v>
      </c>
      <c r="C14" s="136" t="s">
        <v>57</v>
      </c>
      <c r="D14" s="147" t="s">
        <v>57</v>
      </c>
      <c r="E14" s="148" t="s">
        <v>57</v>
      </c>
      <c r="F14" s="149" t="s">
        <v>57</v>
      </c>
      <c r="G14" s="136"/>
      <c r="I14" s="375"/>
      <c r="J14" s="375"/>
      <c r="K14" s="375"/>
      <c r="L14" s="375"/>
      <c r="M14" s="375"/>
    </row>
    <row r="15" spans="1:16" ht="17.25" customHeight="1">
      <c r="A15" s="136"/>
      <c r="B15" s="140" t="s">
        <v>67</v>
      </c>
      <c r="C15" s="141" t="s">
        <v>68</v>
      </c>
      <c r="D15" s="147"/>
      <c r="E15" s="150">
        <f>(F16+F17+F18+F19)/C8</f>
        <v>0.1315</v>
      </c>
      <c r="F15" s="149" t="s">
        <v>57</v>
      </c>
      <c r="G15" s="144">
        <f>E15*C8</f>
        <v>31565.101082250003</v>
      </c>
      <c r="I15" s="126"/>
      <c r="J15" s="145"/>
      <c r="K15" s="146"/>
      <c r="L15" s="126"/>
      <c r="M15" s="373"/>
      <c r="N15" s="373"/>
      <c r="O15" s="373"/>
      <c r="P15" s="126"/>
    </row>
    <row r="16" spans="1:16" ht="17.25" customHeight="1">
      <c r="A16" s="136"/>
      <c r="B16" s="151" t="s">
        <v>69</v>
      </c>
      <c r="C16" s="152" t="s">
        <v>70</v>
      </c>
      <c r="D16" s="153"/>
      <c r="E16" s="154">
        <v>0.05</v>
      </c>
      <c r="F16" s="155">
        <f>E16*$C$8</f>
        <v>12001.939575000002</v>
      </c>
      <c r="G16" s="136"/>
      <c r="I16" s="373"/>
      <c r="J16" s="373"/>
      <c r="K16" s="373"/>
      <c r="L16" s="373"/>
      <c r="M16" s="373"/>
      <c r="N16" s="126"/>
      <c r="O16" s="126"/>
      <c r="P16" s="126"/>
    </row>
    <row r="17" spans="1:16" ht="17.25" customHeight="1">
      <c r="A17" s="136"/>
      <c r="B17" s="151" t="s">
        <v>71</v>
      </c>
      <c r="C17" s="156" t="s">
        <v>72</v>
      </c>
      <c r="D17" s="153"/>
      <c r="E17" s="154">
        <v>0.0065</v>
      </c>
      <c r="F17" s="155">
        <f>E17*$C$8</f>
        <v>1560.25214475</v>
      </c>
      <c r="G17" s="136"/>
      <c r="I17" s="373"/>
      <c r="J17" s="373"/>
      <c r="K17" s="373"/>
      <c r="L17" s="373"/>
      <c r="M17" s="373"/>
      <c r="N17" s="126"/>
      <c r="O17" s="126"/>
      <c r="P17" s="126"/>
    </row>
    <row r="18" spans="1:16" ht="17.25" customHeight="1">
      <c r="A18" s="136"/>
      <c r="B18" s="151" t="s">
        <v>73</v>
      </c>
      <c r="C18" s="156" t="s">
        <v>74</v>
      </c>
      <c r="D18" s="157"/>
      <c r="E18" s="158">
        <v>0.03</v>
      </c>
      <c r="F18" s="155">
        <f>E18*$C$8</f>
        <v>7201.163745000001</v>
      </c>
      <c r="G18" s="149" t="s">
        <v>57</v>
      </c>
      <c r="I18" s="126"/>
      <c r="J18" s="145"/>
      <c r="K18" s="146"/>
      <c r="L18" s="126"/>
      <c r="M18" s="126"/>
      <c r="N18" s="126"/>
      <c r="O18" s="126"/>
      <c r="P18" s="126"/>
    </row>
    <row r="19" spans="1:16" ht="17.25" customHeight="1">
      <c r="A19" s="136"/>
      <c r="B19" s="151" t="s">
        <v>75</v>
      </c>
      <c r="C19" s="156" t="s">
        <v>76</v>
      </c>
      <c r="D19" s="157"/>
      <c r="E19" s="158">
        <v>0.045</v>
      </c>
      <c r="F19" s="155">
        <f>E19*$C$8</f>
        <v>10801.7456175</v>
      </c>
      <c r="G19" s="149" t="s">
        <v>57</v>
      </c>
      <c r="I19" s="126"/>
      <c r="J19" s="145"/>
      <c r="K19" s="146"/>
      <c r="L19" s="126"/>
      <c r="M19" s="126"/>
      <c r="N19" s="126"/>
      <c r="O19" s="126"/>
      <c r="P19" s="126"/>
    </row>
    <row r="20" spans="1:16" ht="11.25" customHeight="1">
      <c r="A20" s="136"/>
      <c r="B20" s="137"/>
      <c r="C20" s="136"/>
      <c r="D20" s="142"/>
      <c r="E20" s="159"/>
      <c r="F20" s="149"/>
      <c r="G20" s="149"/>
      <c r="I20" s="126"/>
      <c r="J20" s="145"/>
      <c r="K20" s="146"/>
      <c r="L20" s="126"/>
      <c r="M20" s="126"/>
      <c r="N20" s="126"/>
      <c r="O20" s="126"/>
      <c r="P20" s="126"/>
    </row>
    <row r="21" spans="1:16" ht="17.25" customHeight="1">
      <c r="A21" s="136"/>
      <c r="B21" s="140" t="s">
        <v>77</v>
      </c>
      <c r="C21" s="141" t="s">
        <v>78</v>
      </c>
      <c r="D21" s="142"/>
      <c r="E21" s="143">
        <v>0.0032</v>
      </c>
      <c r="F21" s="149"/>
      <c r="G21" s="144">
        <f>C8*E21</f>
        <v>768.1241328000001</v>
      </c>
      <c r="I21" s="126"/>
      <c r="J21" s="145"/>
      <c r="K21" s="146"/>
      <c r="L21" s="126"/>
      <c r="M21" s="126"/>
      <c r="N21" s="126"/>
      <c r="O21" s="126"/>
      <c r="P21" s="126"/>
    </row>
    <row r="22" spans="1:16" ht="12" customHeight="1">
      <c r="A22" s="136"/>
      <c r="B22" s="137"/>
      <c r="C22" s="136"/>
      <c r="D22" s="142"/>
      <c r="E22" s="159"/>
      <c r="F22" s="149"/>
      <c r="G22" s="149"/>
      <c r="I22" s="126"/>
      <c r="J22" s="145"/>
      <c r="K22" s="146"/>
      <c r="L22" s="126"/>
      <c r="M22" s="126"/>
      <c r="N22" s="126"/>
      <c r="O22" s="126"/>
      <c r="P22" s="126"/>
    </row>
    <row r="23" spans="1:16" ht="17.25" customHeight="1">
      <c r="A23" s="136"/>
      <c r="B23" s="140" t="s">
        <v>79</v>
      </c>
      <c r="C23" s="141" t="s">
        <v>80</v>
      </c>
      <c r="D23" s="142"/>
      <c r="E23" s="143">
        <v>0.005</v>
      </c>
      <c r="F23" s="149"/>
      <c r="G23" s="144">
        <f>C8*E23</f>
        <v>1200.1939575000001</v>
      </c>
      <c r="I23" s="126"/>
      <c r="J23" s="145"/>
      <c r="K23" s="146"/>
      <c r="L23" s="126"/>
      <c r="M23" s="126"/>
      <c r="N23" s="126"/>
      <c r="O23" s="126"/>
      <c r="P23" s="126"/>
    </row>
    <row r="24" spans="1:16" ht="12.75" customHeight="1">
      <c r="A24" s="136"/>
      <c r="B24" s="137"/>
      <c r="C24" s="136"/>
      <c r="D24" s="147"/>
      <c r="E24" s="148"/>
      <c r="F24" s="149"/>
      <c r="G24" s="149"/>
      <c r="I24" s="126"/>
      <c r="J24" s="126"/>
      <c r="K24" s="126"/>
      <c r="L24" s="126"/>
      <c r="M24" s="126"/>
      <c r="N24" s="126"/>
      <c r="O24" s="126"/>
      <c r="P24" s="126"/>
    </row>
    <row r="25" spans="1:14" ht="17.25" customHeight="1">
      <c r="A25" s="136"/>
      <c r="B25" s="140" t="s">
        <v>81</v>
      </c>
      <c r="C25" s="141" t="s">
        <v>82</v>
      </c>
      <c r="D25" s="147" t="s">
        <v>57</v>
      </c>
      <c r="E25" s="150">
        <v>0.0102</v>
      </c>
      <c r="F25" s="149"/>
      <c r="G25" s="144">
        <f>C8*E25</f>
        <v>2448.3956733000005</v>
      </c>
      <c r="H25" s="123" t="s">
        <v>57</v>
      </c>
      <c r="J25" s="145"/>
      <c r="K25" s="146"/>
      <c r="L25" s="126"/>
      <c r="M25" s="126"/>
      <c r="N25" s="126"/>
    </row>
    <row r="26" spans="1:7" ht="9.75" customHeight="1">
      <c r="A26" s="136"/>
      <c r="B26" s="137"/>
      <c r="C26" s="136"/>
      <c r="D26" s="147"/>
      <c r="E26" s="148"/>
      <c r="F26" s="149"/>
      <c r="G26" s="149"/>
    </row>
    <row r="27" spans="1:14" ht="17.25" customHeight="1">
      <c r="A27" s="136"/>
      <c r="B27" s="140" t="s">
        <v>83</v>
      </c>
      <c r="C27" s="141" t="s">
        <v>84</v>
      </c>
      <c r="D27" s="147">
        <v>7.5</v>
      </c>
      <c r="E27" s="150">
        <v>0.0664</v>
      </c>
      <c r="F27" s="149"/>
      <c r="G27" s="144">
        <f>C8*E27</f>
        <v>15938.5757556</v>
      </c>
      <c r="J27" s="145"/>
      <c r="K27" s="146"/>
      <c r="L27" s="126"/>
      <c r="M27" s="126"/>
      <c r="N27" s="126"/>
    </row>
    <row r="28" spans="2:6" s="160" customFormat="1" ht="7.5" customHeight="1">
      <c r="B28" s="127"/>
      <c r="D28" s="161"/>
      <c r="E28" s="162"/>
      <c r="F28" s="163"/>
    </row>
    <row r="29" spans="1:9" ht="21" customHeight="1">
      <c r="A29" s="164"/>
      <c r="B29" s="165" t="s">
        <v>57</v>
      </c>
      <c r="C29" s="166" t="s">
        <v>62</v>
      </c>
      <c r="D29" s="153" t="s">
        <v>57</v>
      </c>
      <c r="E29" s="154">
        <f>C36</f>
        <v>0.28901157095682195</v>
      </c>
      <c r="F29" s="167" t="s">
        <v>85</v>
      </c>
      <c r="G29" s="155">
        <f>C8*0.289</f>
        <v>69371.2107435</v>
      </c>
      <c r="I29" s="133"/>
    </row>
    <row r="30" ht="6" customHeight="1"/>
    <row r="31" spans="5:7" ht="15.75">
      <c r="E31" s="379" t="s">
        <v>86</v>
      </c>
      <c r="F31" s="379"/>
      <c r="G31" s="168">
        <f>C8+G29</f>
        <v>309410.0022435</v>
      </c>
    </row>
    <row r="32" spans="5:7" s="169" customFormat="1" ht="15.75">
      <c r="E32" s="170"/>
      <c r="F32" s="170"/>
      <c r="G32" s="171"/>
    </row>
    <row r="33" spans="2:7" s="169" customFormat="1" ht="15.75" customHeight="1">
      <c r="B33" s="382" t="s">
        <v>87</v>
      </c>
      <c r="C33" s="172" t="s">
        <v>88</v>
      </c>
      <c r="E33" s="173" t="s">
        <v>89</v>
      </c>
      <c r="F33" s="376" t="s">
        <v>90</v>
      </c>
      <c r="G33" s="376"/>
    </row>
    <row r="34" spans="2:7" s="169" customFormat="1" ht="12.75">
      <c r="B34" s="382"/>
      <c r="C34" s="174" t="s">
        <v>91</v>
      </c>
      <c r="E34" s="170"/>
      <c r="F34" s="376" t="s">
        <v>92</v>
      </c>
      <c r="G34" s="376"/>
    </row>
    <row r="35" spans="5:7" s="169" customFormat="1" ht="12.75">
      <c r="E35" s="170"/>
      <c r="F35" s="376" t="s">
        <v>93</v>
      </c>
      <c r="G35" s="376"/>
    </row>
    <row r="36" spans="2:7" s="169" customFormat="1" ht="12.75">
      <c r="B36" s="175" t="s">
        <v>87</v>
      </c>
      <c r="C36" s="176">
        <f>(((1+0.031+0.0016+0.005+0.0016)*(1+0.0102)*(1+0.0664))/(1-(0.05+0.0065+0.03+0.045)))-1</f>
        <v>0.28901157095682195</v>
      </c>
      <c r="E36" s="170"/>
      <c r="F36" s="376" t="s">
        <v>94</v>
      </c>
      <c r="G36" s="376"/>
    </row>
    <row r="37" spans="2:13" ht="15" customHeight="1">
      <c r="B37" s="169"/>
      <c r="F37" s="376" t="s">
        <v>95</v>
      </c>
      <c r="G37" s="376"/>
      <c r="I37" s="377"/>
      <c r="J37" s="377"/>
      <c r="K37" s="377"/>
      <c r="L37" s="377"/>
      <c r="M37" s="377"/>
    </row>
    <row r="38" spans="6:13" ht="15" customHeight="1">
      <c r="F38" s="178" t="s">
        <v>96</v>
      </c>
      <c r="G38" s="178"/>
      <c r="I38" s="177"/>
      <c r="J38" s="177"/>
      <c r="K38" s="177"/>
      <c r="L38" s="177"/>
      <c r="M38" s="177"/>
    </row>
    <row r="39" spans="6:13" ht="15" customHeight="1">
      <c r="F39" s="376" t="s">
        <v>97</v>
      </c>
      <c r="G39" s="376"/>
      <c r="I39" s="177"/>
      <c r="J39" s="177"/>
      <c r="K39" s="177"/>
      <c r="L39" s="177"/>
      <c r="M39" s="177"/>
    </row>
    <row r="40" spans="5:13" s="169" customFormat="1" ht="15" customHeight="1">
      <c r="E40" s="205"/>
      <c r="F40" s="206"/>
      <c r="G40" s="206"/>
      <c r="I40" s="207"/>
      <c r="J40" s="207"/>
      <c r="K40" s="207"/>
      <c r="L40" s="207"/>
      <c r="M40" s="207"/>
    </row>
    <row r="41" spans="1:14" ht="30.75" customHeight="1">
      <c r="A41" s="371" t="str">
        <f>'ORÇAMENTO GERAL'!E193</f>
        <v>Piracanjuba, 22/06/2017</v>
      </c>
      <c r="B41" s="372"/>
      <c r="C41" s="372"/>
      <c r="D41" s="372"/>
      <c r="E41" s="372"/>
      <c r="F41" s="372"/>
      <c r="G41" s="372"/>
      <c r="I41" s="373"/>
      <c r="J41" s="373"/>
      <c r="K41" s="373"/>
      <c r="L41" s="373"/>
      <c r="M41" s="373"/>
      <c r="N41" s="373"/>
    </row>
    <row r="42" spans="1:14" ht="35.25" customHeight="1">
      <c r="A42" s="213"/>
      <c r="B42" s="214"/>
      <c r="C42" s="214"/>
      <c r="D42" s="214"/>
      <c r="E42" s="214"/>
      <c r="F42" s="214"/>
      <c r="G42" s="214"/>
      <c r="I42" s="126"/>
      <c r="J42" s="126"/>
      <c r="K42" s="126"/>
      <c r="L42" s="126"/>
      <c r="M42" s="126"/>
      <c r="N42" s="126"/>
    </row>
    <row r="43" spans="2:7" ht="12.75" customHeight="1">
      <c r="B43" s="374" t="s">
        <v>117</v>
      </c>
      <c r="C43" s="374"/>
      <c r="D43" s="374"/>
      <c r="E43" s="374"/>
      <c r="F43" s="374"/>
      <c r="G43" s="374"/>
    </row>
    <row r="44" spans="2:7" s="179" customFormat="1" ht="15" customHeight="1">
      <c r="B44" s="374" t="s">
        <v>125</v>
      </c>
      <c r="C44" s="374"/>
      <c r="D44" s="374"/>
      <c r="E44" s="374"/>
      <c r="F44" s="374"/>
      <c r="G44" s="374"/>
    </row>
    <row r="45" spans="2:7" s="179" customFormat="1" ht="15" customHeight="1">
      <c r="B45" s="374" t="s">
        <v>119</v>
      </c>
      <c r="C45" s="374"/>
      <c r="D45" s="374"/>
      <c r="E45" s="374"/>
      <c r="F45" s="374"/>
      <c r="G45" s="374"/>
    </row>
    <row r="46" spans="2:7" ht="15.75">
      <c r="B46" s="374"/>
      <c r="C46" s="374"/>
      <c r="D46" s="374"/>
      <c r="E46" s="374"/>
      <c r="F46" s="374"/>
      <c r="G46" s="374"/>
    </row>
  </sheetData>
  <sheetProtection/>
  <mergeCells count="29">
    <mergeCell ref="B43:G43"/>
    <mergeCell ref="I17:M17"/>
    <mergeCell ref="E31:F31"/>
    <mergeCell ref="B46:G46"/>
    <mergeCell ref="D3:E3"/>
    <mergeCell ref="B45:G45"/>
    <mergeCell ref="B33:B34"/>
    <mergeCell ref="F33:G33"/>
    <mergeCell ref="F34:G34"/>
    <mergeCell ref="B6:G6"/>
    <mergeCell ref="I37:M37"/>
    <mergeCell ref="F39:G39"/>
    <mergeCell ref="B1:G1"/>
    <mergeCell ref="E8:F8"/>
    <mergeCell ref="B10:B11"/>
    <mergeCell ref="C10:C11"/>
    <mergeCell ref="E10:E11"/>
    <mergeCell ref="B5:E5"/>
    <mergeCell ref="B3:C3"/>
    <mergeCell ref="A41:G41"/>
    <mergeCell ref="I41:N41"/>
    <mergeCell ref="B44:G44"/>
    <mergeCell ref="I11:M11"/>
    <mergeCell ref="I14:M14"/>
    <mergeCell ref="M15:O15"/>
    <mergeCell ref="I16:M16"/>
    <mergeCell ref="F35:G35"/>
    <mergeCell ref="F36:G36"/>
    <mergeCell ref="F37:G37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26">
      <selection activeCell="H123" sqref="H123:J123"/>
    </sheetView>
  </sheetViews>
  <sheetFormatPr defaultColWidth="9.140625" defaultRowHeight="15"/>
  <cols>
    <col min="1" max="1" width="13.7109375" style="3" customWidth="1"/>
    <col min="2" max="2" width="17.8515625" style="183" customWidth="1"/>
    <col min="3" max="3" width="9.8515625" style="3" customWidth="1"/>
    <col min="4" max="4" width="69.28125" style="3" customWidth="1"/>
    <col min="5" max="5" width="6.140625" style="3" bestFit="1" customWidth="1"/>
    <col min="6" max="6" width="11.8515625" style="9" customWidth="1"/>
    <col min="7" max="7" width="0.9921875" style="9" customWidth="1"/>
    <col min="8" max="8" width="14.8515625" style="9" customWidth="1"/>
    <col min="9" max="9" width="0.9921875" style="9" customWidth="1"/>
    <col min="10" max="10" width="27.57421875" style="9" customWidth="1"/>
    <col min="11" max="11" width="1.421875" style="3" customWidth="1"/>
    <col min="12" max="16384" width="9.140625" style="3" customWidth="1"/>
  </cols>
  <sheetData>
    <row r="1" spans="6:10" ht="101.25" customHeight="1">
      <c r="F1" s="3"/>
      <c r="G1" s="3"/>
      <c r="H1" s="3"/>
      <c r="I1" s="3"/>
      <c r="J1" s="3"/>
    </row>
    <row r="2" spans="1:10" ht="12.75">
      <c r="A2" s="273" t="s">
        <v>109</v>
      </c>
      <c r="B2" s="273"/>
      <c r="C2" s="273"/>
      <c r="D2" s="273"/>
      <c r="F2" s="3"/>
      <c r="G2" s="3"/>
      <c r="H2" s="3"/>
      <c r="I2" s="3"/>
      <c r="J2" s="3"/>
    </row>
    <row r="3" spans="1:10" ht="12.75">
      <c r="A3" s="208" t="s">
        <v>110</v>
      </c>
      <c r="B3" s="208"/>
      <c r="F3" s="3"/>
      <c r="G3" s="3"/>
      <c r="H3" s="3"/>
      <c r="I3" s="3"/>
      <c r="J3" s="3"/>
    </row>
    <row r="4" spans="1:10" ht="23.25" customHeight="1" hidden="1">
      <c r="A4" s="274"/>
      <c r="B4" s="274"/>
      <c r="C4" s="274"/>
      <c r="D4" s="274"/>
      <c r="E4" s="275" t="s">
        <v>8</v>
      </c>
      <c r="F4" s="275"/>
      <c r="G4" s="275"/>
      <c r="H4" s="275"/>
      <c r="I4" s="275"/>
      <c r="J4" s="275"/>
    </row>
    <row r="5" spans="1:10" ht="23.25" customHeight="1" hidden="1">
      <c r="A5" s="276"/>
      <c r="B5" s="276"/>
      <c r="C5" s="276"/>
      <c r="D5" s="276"/>
      <c r="E5" s="283"/>
      <c r="F5" s="283"/>
      <c r="G5" s="283"/>
      <c r="H5" s="283"/>
      <c r="I5" s="283"/>
      <c r="J5" s="283"/>
    </row>
    <row r="6" spans="1:10" ht="12.75" customHeight="1">
      <c r="A6" s="396" t="str">
        <f>'ORÇAMENTO GERAL'!A4:D4</f>
        <v>TABELA OFICIAL: SINAPI - MAIO 2016 / AGETOP OUTUBRO/2016</v>
      </c>
      <c r="B6" s="396"/>
      <c r="C6" s="396"/>
      <c r="D6" s="396"/>
      <c r="E6" s="283"/>
      <c r="F6" s="283"/>
      <c r="G6" s="283"/>
      <c r="H6" s="283"/>
      <c r="I6" s="283"/>
      <c r="J6" s="283"/>
    </row>
    <row r="7" spans="1:10" ht="12.75">
      <c r="A7" s="185" t="s">
        <v>107</v>
      </c>
      <c r="B7" s="191" t="s">
        <v>108</v>
      </c>
      <c r="E7" s="283"/>
      <c r="F7" s="283"/>
      <c r="G7" s="283"/>
      <c r="H7" s="283"/>
      <c r="I7" s="283"/>
      <c r="J7" s="283"/>
    </row>
    <row r="8" spans="1:10" ht="20.25" customHeight="1">
      <c r="A8" s="185"/>
      <c r="B8" s="185"/>
      <c r="C8" s="185"/>
      <c r="D8" s="187" t="s">
        <v>216</v>
      </c>
      <c r="E8" s="186"/>
      <c r="F8" s="186"/>
      <c r="G8" s="186"/>
      <c r="H8" s="186"/>
      <c r="I8" s="186"/>
      <c r="J8" s="186"/>
    </row>
    <row r="9" spans="1:10" ht="18" customHeight="1">
      <c r="A9" s="284" t="s">
        <v>27</v>
      </c>
      <c r="B9" s="285"/>
      <c r="C9" s="37"/>
      <c r="D9" s="37"/>
      <c r="E9" s="36"/>
      <c r="F9" s="36"/>
      <c r="G9" s="201"/>
      <c r="H9" s="186"/>
      <c r="I9" s="186"/>
      <c r="J9" s="186"/>
    </row>
    <row r="10" spans="1:13" s="183" customFormat="1" ht="21.75" customHeight="1">
      <c r="A10" s="10" t="s">
        <v>1</v>
      </c>
      <c r="B10" s="10" t="s">
        <v>25</v>
      </c>
      <c r="C10" s="10" t="s">
        <v>7</v>
      </c>
      <c r="D10" s="10" t="s">
        <v>2</v>
      </c>
      <c r="E10" s="10"/>
      <c r="F10" s="11" t="s">
        <v>3</v>
      </c>
      <c r="G10" s="5"/>
      <c r="H10" s="5"/>
      <c r="I10" s="5"/>
      <c r="J10" s="5"/>
      <c r="L10" s="398"/>
      <c r="M10" s="398"/>
    </row>
    <row r="11" spans="1:14" ht="15" customHeight="1">
      <c r="A11" s="30">
        <v>1</v>
      </c>
      <c r="B11" s="203"/>
      <c r="C11" s="203"/>
      <c r="D11" s="29" t="s">
        <v>156</v>
      </c>
      <c r="E11" s="203"/>
      <c r="F11" s="13" t="s">
        <v>3</v>
      </c>
      <c r="G11" s="7"/>
      <c r="H11" s="5"/>
      <c r="I11" s="5"/>
      <c r="J11" s="5"/>
      <c r="L11" s="8"/>
      <c r="M11" s="8"/>
      <c r="N11" s="188"/>
    </row>
    <row r="12" spans="1:14" ht="30.75" customHeight="1">
      <c r="A12" s="203">
        <f>A11+0.01</f>
        <v>1.01</v>
      </c>
      <c r="B12" s="203" t="s">
        <v>198</v>
      </c>
      <c r="C12" s="203">
        <v>21301</v>
      </c>
      <c r="D12" s="1" t="s">
        <v>219</v>
      </c>
      <c r="E12" s="203" t="s">
        <v>10</v>
      </c>
      <c r="F12" s="231">
        <v>10</v>
      </c>
      <c r="G12" s="7"/>
      <c r="H12" s="402" t="s">
        <v>175</v>
      </c>
      <c r="I12" s="402"/>
      <c r="J12" s="402"/>
      <c r="L12" s="8"/>
      <c r="M12" s="8"/>
      <c r="N12" s="188"/>
    </row>
    <row r="13" spans="1:14" ht="18" customHeight="1">
      <c r="A13" s="230"/>
      <c r="B13" s="230"/>
      <c r="C13" s="230"/>
      <c r="E13" s="230"/>
      <c r="F13" s="7"/>
      <c r="G13" s="7"/>
      <c r="H13" s="7"/>
      <c r="I13" s="7"/>
      <c r="J13" s="7"/>
      <c r="L13" s="8"/>
      <c r="M13" s="8"/>
      <c r="N13" s="188"/>
    </row>
    <row r="14" spans="1:13" ht="12.75">
      <c r="A14" s="30">
        <v>2</v>
      </c>
      <c r="B14" s="203"/>
      <c r="C14" s="203"/>
      <c r="D14" s="29" t="s">
        <v>14</v>
      </c>
      <c r="E14" s="203"/>
      <c r="F14" s="13" t="s">
        <v>3</v>
      </c>
      <c r="G14" s="5"/>
      <c r="H14" s="5"/>
      <c r="I14" s="5"/>
      <c r="J14" s="5"/>
      <c r="L14" s="4"/>
      <c r="M14" s="4"/>
    </row>
    <row r="15" spans="1:13" ht="35.25" customHeight="1">
      <c r="A15" s="203">
        <f>A14+0.01</f>
        <v>2.01</v>
      </c>
      <c r="B15" s="203" t="s">
        <v>26</v>
      </c>
      <c r="C15" s="203">
        <v>9540</v>
      </c>
      <c r="D15" s="233" t="s">
        <v>167</v>
      </c>
      <c r="E15" s="203" t="s">
        <v>11</v>
      </c>
      <c r="F15" s="231">
        <v>1</v>
      </c>
      <c r="G15" s="7"/>
      <c r="H15" s="383" t="s">
        <v>148</v>
      </c>
      <c r="I15" s="383"/>
      <c r="J15" s="383"/>
      <c r="L15" s="8"/>
      <c r="M15" s="8"/>
    </row>
    <row r="16" spans="1:13" ht="25.5">
      <c r="A16" s="203">
        <f>A15+0.03</f>
        <v>2.0399999999999996</v>
      </c>
      <c r="B16" s="203" t="s">
        <v>26</v>
      </c>
      <c r="C16" s="203">
        <v>83463</v>
      </c>
      <c r="D16" s="232" t="s">
        <v>189</v>
      </c>
      <c r="E16" s="203" t="s">
        <v>11</v>
      </c>
      <c r="F16" s="231">
        <v>1</v>
      </c>
      <c r="G16" s="7"/>
      <c r="H16" s="383" t="s">
        <v>128</v>
      </c>
      <c r="I16" s="383"/>
      <c r="J16" s="383"/>
      <c r="L16" s="8"/>
      <c r="M16" s="8"/>
    </row>
    <row r="17" spans="1:13" ht="38.25" customHeight="1">
      <c r="A17" s="203">
        <f>A16+0.02</f>
        <v>2.0599999999999996</v>
      </c>
      <c r="B17" s="203" t="s">
        <v>26</v>
      </c>
      <c r="C17" s="203" t="s">
        <v>149</v>
      </c>
      <c r="D17" s="232" t="s">
        <v>150</v>
      </c>
      <c r="E17" s="203" t="s">
        <v>11</v>
      </c>
      <c r="F17" s="231">
        <v>6</v>
      </c>
      <c r="G17" s="7"/>
      <c r="H17" s="384" t="s">
        <v>170</v>
      </c>
      <c r="I17" s="385"/>
      <c r="J17" s="386"/>
      <c r="L17" s="8"/>
      <c r="M17" s="8"/>
    </row>
    <row r="18" spans="1:13" ht="12.75">
      <c r="A18" s="203">
        <f aca="true" t="shared" si="0" ref="A18:A27">A17+0.01</f>
        <v>2.0699999999999994</v>
      </c>
      <c r="B18" s="203" t="s">
        <v>26</v>
      </c>
      <c r="C18" s="203" t="s">
        <v>105</v>
      </c>
      <c r="D18" s="1" t="s">
        <v>106</v>
      </c>
      <c r="E18" s="203" t="s">
        <v>11</v>
      </c>
      <c r="F18" s="231">
        <v>6</v>
      </c>
      <c r="G18" s="7"/>
      <c r="H18" s="384" t="s">
        <v>171</v>
      </c>
      <c r="I18" s="385"/>
      <c r="J18" s="386"/>
      <c r="L18" s="8"/>
      <c r="M18" s="8"/>
    </row>
    <row r="19" spans="1:13" ht="25.5">
      <c r="A19" s="203">
        <f t="shared" si="0"/>
        <v>2.079999999999999</v>
      </c>
      <c r="B19" s="203" t="s">
        <v>26</v>
      </c>
      <c r="C19" s="203" t="s">
        <v>121</v>
      </c>
      <c r="D19" s="1" t="s">
        <v>122</v>
      </c>
      <c r="E19" s="203" t="s">
        <v>11</v>
      </c>
      <c r="F19" s="231">
        <v>3</v>
      </c>
      <c r="G19" s="7"/>
      <c r="H19" s="384" t="s">
        <v>151</v>
      </c>
      <c r="I19" s="385"/>
      <c r="J19" s="386"/>
      <c r="L19" s="8"/>
      <c r="M19" s="8"/>
    </row>
    <row r="20" spans="1:13" ht="29.25" customHeight="1">
      <c r="A20" s="203">
        <f t="shared" si="0"/>
        <v>2.089999999999999</v>
      </c>
      <c r="B20" s="203" t="s">
        <v>26</v>
      </c>
      <c r="C20" s="203">
        <v>83447</v>
      </c>
      <c r="D20" s="1" t="s">
        <v>104</v>
      </c>
      <c r="E20" s="203" t="s">
        <v>11</v>
      </c>
      <c r="F20" s="231">
        <v>4</v>
      </c>
      <c r="G20" s="7"/>
      <c r="H20" s="384" t="s">
        <v>172</v>
      </c>
      <c r="I20" s="385"/>
      <c r="J20" s="386"/>
      <c r="L20" s="8"/>
      <c r="M20" s="8"/>
    </row>
    <row r="21" spans="1:13" ht="12.75">
      <c r="A21" s="203">
        <f t="shared" si="0"/>
        <v>2.0999999999999988</v>
      </c>
      <c r="B21" s="203" t="s">
        <v>26</v>
      </c>
      <c r="C21" s="203">
        <v>72250</v>
      </c>
      <c r="D21" s="232" t="s">
        <v>190</v>
      </c>
      <c r="E21" s="203" t="s">
        <v>0</v>
      </c>
      <c r="F21" s="235">
        <v>10</v>
      </c>
      <c r="G21" s="7"/>
      <c r="H21" s="384" t="s">
        <v>134</v>
      </c>
      <c r="I21" s="385"/>
      <c r="J21" s="386"/>
      <c r="L21" s="8"/>
      <c r="M21" s="8"/>
    </row>
    <row r="22" spans="1:13" ht="25.5">
      <c r="A22" s="203">
        <f t="shared" si="0"/>
        <v>2.1099999999999985</v>
      </c>
      <c r="B22" s="203" t="s">
        <v>26</v>
      </c>
      <c r="C22" s="203">
        <v>91856</v>
      </c>
      <c r="D22" s="232" t="s">
        <v>191</v>
      </c>
      <c r="E22" s="203" t="s">
        <v>0</v>
      </c>
      <c r="F22" s="235">
        <v>70</v>
      </c>
      <c r="G22" s="7"/>
      <c r="H22" s="384" t="s">
        <v>134</v>
      </c>
      <c r="I22" s="385"/>
      <c r="J22" s="386"/>
      <c r="L22" s="8"/>
      <c r="M22" s="8"/>
    </row>
    <row r="23" spans="1:13" ht="25.5">
      <c r="A23" s="203">
        <f t="shared" si="0"/>
        <v>2.1199999999999983</v>
      </c>
      <c r="B23" s="203" t="s">
        <v>26</v>
      </c>
      <c r="C23" s="203">
        <v>91872</v>
      </c>
      <c r="D23" s="232" t="s">
        <v>192</v>
      </c>
      <c r="E23" s="203" t="s">
        <v>0</v>
      </c>
      <c r="F23" s="235">
        <v>18</v>
      </c>
      <c r="G23" s="7"/>
      <c r="H23" s="384" t="s">
        <v>134</v>
      </c>
      <c r="I23" s="385"/>
      <c r="J23" s="386"/>
      <c r="L23" s="8"/>
      <c r="M23" s="8"/>
    </row>
    <row r="24" spans="1:13" ht="12.75">
      <c r="A24" s="203">
        <f>A23+0.04</f>
        <v>2.1599999999999984</v>
      </c>
      <c r="B24" s="203" t="s">
        <v>26</v>
      </c>
      <c r="C24" s="203">
        <v>83399</v>
      </c>
      <c r="D24" s="232" t="s">
        <v>160</v>
      </c>
      <c r="E24" s="203" t="s">
        <v>11</v>
      </c>
      <c r="F24" s="235">
        <v>3</v>
      </c>
      <c r="G24" s="3"/>
      <c r="H24" s="392" t="s">
        <v>173</v>
      </c>
      <c r="I24" s="392"/>
      <c r="J24" s="392"/>
      <c r="L24" s="8"/>
      <c r="M24" s="8"/>
    </row>
    <row r="25" spans="1:13" ht="25.5">
      <c r="A25" s="203">
        <f t="shared" si="0"/>
        <v>2.169999999999998</v>
      </c>
      <c r="B25" s="203" t="s">
        <v>26</v>
      </c>
      <c r="C25" s="203">
        <v>91929</v>
      </c>
      <c r="D25" s="232" t="s">
        <v>194</v>
      </c>
      <c r="E25" s="203" t="s">
        <v>0</v>
      </c>
      <c r="F25" s="235">
        <v>129</v>
      </c>
      <c r="G25" s="7"/>
      <c r="H25" s="384" t="s">
        <v>134</v>
      </c>
      <c r="I25" s="385"/>
      <c r="J25" s="386"/>
      <c r="L25" s="8"/>
      <c r="M25" s="8"/>
    </row>
    <row r="26" spans="1:13" ht="25.5">
      <c r="A26" s="203">
        <f t="shared" si="0"/>
        <v>2.179999999999998</v>
      </c>
      <c r="B26" s="203" t="s">
        <v>26</v>
      </c>
      <c r="C26" s="203">
        <v>91929</v>
      </c>
      <c r="D26" s="232" t="s">
        <v>195</v>
      </c>
      <c r="E26" s="203" t="s">
        <v>0</v>
      </c>
      <c r="F26" s="235">
        <v>129</v>
      </c>
      <c r="G26" s="7"/>
      <c r="H26" s="384" t="s">
        <v>134</v>
      </c>
      <c r="I26" s="385"/>
      <c r="J26" s="386"/>
      <c r="L26" s="8"/>
      <c r="M26" s="8"/>
    </row>
    <row r="27" spans="1:12" ht="25.5">
      <c r="A27" s="203">
        <f t="shared" si="0"/>
        <v>2.1899999999999977</v>
      </c>
      <c r="B27" s="203" t="s">
        <v>26</v>
      </c>
      <c r="C27" s="203">
        <v>91929</v>
      </c>
      <c r="D27" s="232" t="s">
        <v>196</v>
      </c>
      <c r="E27" s="203" t="s">
        <v>0</v>
      </c>
      <c r="F27" s="235">
        <v>95</v>
      </c>
      <c r="G27" s="3"/>
      <c r="H27" s="384" t="s">
        <v>134</v>
      </c>
      <c r="I27" s="385"/>
      <c r="J27" s="386"/>
      <c r="L27" s="8"/>
    </row>
    <row r="28" spans="1:13" ht="12.75">
      <c r="A28" s="203">
        <f>A27+0.02</f>
        <v>2.2099999999999977</v>
      </c>
      <c r="B28" s="203" t="s">
        <v>26</v>
      </c>
      <c r="C28" s="203">
        <v>72281</v>
      </c>
      <c r="D28" s="232" t="s">
        <v>164</v>
      </c>
      <c r="E28" s="203" t="s">
        <v>11</v>
      </c>
      <c r="F28" s="231">
        <v>6</v>
      </c>
      <c r="G28" s="3"/>
      <c r="H28" s="392" t="s">
        <v>174</v>
      </c>
      <c r="I28" s="392"/>
      <c r="J28" s="392"/>
      <c r="L28" s="8"/>
      <c r="M28" s="8"/>
    </row>
    <row r="29" spans="1:10" ht="12.75">
      <c r="A29" s="183"/>
      <c r="C29" s="183"/>
      <c r="E29" s="183"/>
      <c r="F29" s="7"/>
      <c r="G29" s="7"/>
      <c r="H29" s="7"/>
      <c r="I29" s="7"/>
      <c r="J29" s="7"/>
    </row>
    <row r="30" spans="1:10" ht="12.75">
      <c r="A30" s="220"/>
      <c r="B30" s="220"/>
      <c r="C30" s="220"/>
      <c r="E30" s="220"/>
      <c r="F30" s="7"/>
      <c r="G30" s="7"/>
      <c r="H30" s="7"/>
      <c r="I30" s="7"/>
      <c r="J30" s="7"/>
    </row>
    <row r="31" spans="1:10" ht="12.75">
      <c r="A31" s="30">
        <v>3</v>
      </c>
      <c r="B31" s="2"/>
      <c r="C31" s="2"/>
      <c r="D31" s="29" t="s">
        <v>15</v>
      </c>
      <c r="E31" s="2"/>
      <c r="F31" s="13" t="s">
        <v>3</v>
      </c>
      <c r="G31" s="7"/>
      <c r="H31" s="5"/>
      <c r="I31" s="5"/>
      <c r="J31" s="5"/>
    </row>
    <row r="32" spans="1:10" ht="12.75">
      <c r="A32" s="203">
        <f aca="true" t="shared" si="1" ref="A32:A37">A31+0.01</f>
        <v>3.01</v>
      </c>
      <c r="B32" s="203" t="s">
        <v>26</v>
      </c>
      <c r="C32" s="203">
        <v>79472</v>
      </c>
      <c r="D32" s="1" t="s">
        <v>31</v>
      </c>
      <c r="E32" s="203" t="s">
        <v>10</v>
      </c>
      <c r="F32" s="231">
        <v>414.12</v>
      </c>
      <c r="G32" s="7"/>
      <c r="H32" s="389" t="s">
        <v>181</v>
      </c>
      <c r="I32" s="390"/>
      <c r="J32" s="391"/>
    </row>
    <row r="33" spans="1:10" ht="25.5">
      <c r="A33" s="203">
        <f t="shared" si="1"/>
        <v>3.0199999999999996</v>
      </c>
      <c r="B33" s="203" t="s">
        <v>26</v>
      </c>
      <c r="C33" s="203">
        <v>92396</v>
      </c>
      <c r="D33" s="47" t="s">
        <v>140</v>
      </c>
      <c r="E33" s="203" t="s">
        <v>10</v>
      </c>
      <c r="F33" s="231">
        <v>414.12</v>
      </c>
      <c r="G33" s="7"/>
      <c r="H33" s="384" t="s">
        <v>223</v>
      </c>
      <c r="I33" s="385"/>
      <c r="J33" s="386"/>
    </row>
    <row r="34" spans="1:10" ht="26.25" customHeight="1">
      <c r="A34" s="203">
        <f t="shared" si="1"/>
        <v>3.0299999999999994</v>
      </c>
      <c r="B34" s="203" t="s">
        <v>26</v>
      </c>
      <c r="C34" s="203">
        <v>72132</v>
      </c>
      <c r="D34" s="1" t="s">
        <v>116</v>
      </c>
      <c r="E34" s="203" t="s">
        <v>10</v>
      </c>
      <c r="F34" s="231">
        <v>2.88</v>
      </c>
      <c r="G34" s="7"/>
      <c r="H34" s="384" t="s">
        <v>132</v>
      </c>
      <c r="I34" s="385"/>
      <c r="J34" s="386"/>
    </row>
    <row r="35" spans="1:10" ht="28.5" customHeight="1">
      <c r="A35" s="203">
        <f t="shared" si="1"/>
        <v>3.039999999999999</v>
      </c>
      <c r="B35" s="203" t="s">
        <v>26</v>
      </c>
      <c r="C35" s="203" t="s">
        <v>114</v>
      </c>
      <c r="D35" s="1" t="s">
        <v>115</v>
      </c>
      <c r="E35" s="203" t="s">
        <v>113</v>
      </c>
      <c r="F35" s="231">
        <v>1.28</v>
      </c>
      <c r="G35" s="7"/>
      <c r="H35" s="392" t="s">
        <v>133</v>
      </c>
      <c r="I35" s="392"/>
      <c r="J35" s="392"/>
    </row>
    <row r="36" spans="1:10" ht="26.25" customHeight="1">
      <c r="A36" s="203">
        <f t="shared" si="1"/>
        <v>3.049999999999999</v>
      </c>
      <c r="B36" s="203" t="s">
        <v>26</v>
      </c>
      <c r="C36" s="203">
        <v>75481</v>
      </c>
      <c r="D36" s="1" t="s">
        <v>141</v>
      </c>
      <c r="E36" s="203" t="s">
        <v>10</v>
      </c>
      <c r="F36" s="231">
        <f>1.71*4</f>
        <v>6.84</v>
      </c>
      <c r="G36" s="7"/>
      <c r="H36" s="384" t="s">
        <v>144</v>
      </c>
      <c r="I36" s="385"/>
      <c r="J36" s="386"/>
    </row>
    <row r="37" spans="1:10" ht="56.25" customHeight="1">
      <c r="A37" s="203">
        <f t="shared" si="1"/>
        <v>3.0599999999999987</v>
      </c>
      <c r="B37" s="203" t="s">
        <v>26</v>
      </c>
      <c r="C37" s="203" t="s">
        <v>142</v>
      </c>
      <c r="D37" s="1" t="s">
        <v>143</v>
      </c>
      <c r="E37" s="203" t="s">
        <v>10</v>
      </c>
      <c r="F37" s="231">
        <f>5.79*4</f>
        <v>23.16</v>
      </c>
      <c r="G37" s="7"/>
      <c r="H37" s="392" t="s">
        <v>145</v>
      </c>
      <c r="I37" s="392"/>
      <c r="J37" s="392"/>
    </row>
    <row r="38" spans="6:10" ht="12.75">
      <c r="F38" s="3"/>
      <c r="G38" s="3"/>
      <c r="H38" s="184"/>
      <c r="I38" s="7"/>
      <c r="J38" s="7"/>
    </row>
    <row r="39" spans="1:10" ht="12.75">
      <c r="A39" s="284" t="s">
        <v>28</v>
      </c>
      <c r="B39" s="397"/>
      <c r="C39" s="285"/>
      <c r="E39" s="183"/>
      <c r="F39" s="7"/>
      <c r="G39" s="7"/>
      <c r="H39" s="7"/>
      <c r="I39" s="7"/>
      <c r="J39" s="7"/>
    </row>
    <row r="40" spans="1:13" s="183" customFormat="1" ht="21.75" customHeight="1">
      <c r="A40" s="10" t="s">
        <v>1</v>
      </c>
      <c r="B40" s="10" t="s">
        <v>25</v>
      </c>
      <c r="C40" s="10" t="s">
        <v>7</v>
      </c>
      <c r="D40" s="10" t="s">
        <v>2</v>
      </c>
      <c r="E40" s="10"/>
      <c r="F40" s="11" t="s">
        <v>3</v>
      </c>
      <c r="G40" s="5"/>
      <c r="H40" s="5"/>
      <c r="I40" s="5"/>
      <c r="J40" s="5"/>
      <c r="L40" s="398"/>
      <c r="M40" s="398"/>
    </row>
    <row r="41" spans="1:10" ht="12.75">
      <c r="A41" s="30">
        <v>4</v>
      </c>
      <c r="B41" s="203"/>
      <c r="C41" s="203"/>
      <c r="D41" s="29" t="s">
        <v>14</v>
      </c>
      <c r="E41" s="203"/>
      <c r="F41" s="13" t="s">
        <v>3</v>
      </c>
      <c r="G41" s="7"/>
      <c r="H41" s="7"/>
      <c r="I41" s="7"/>
      <c r="J41" s="7"/>
    </row>
    <row r="42" spans="1:13" ht="35.25" customHeight="1">
      <c r="A42" s="203">
        <f>A41+0.01</f>
        <v>4.01</v>
      </c>
      <c r="B42" s="203" t="s">
        <v>26</v>
      </c>
      <c r="C42" s="203">
        <v>9540</v>
      </c>
      <c r="D42" s="233" t="s">
        <v>167</v>
      </c>
      <c r="E42" s="203" t="s">
        <v>11</v>
      </c>
      <c r="F42" s="231">
        <v>1</v>
      </c>
      <c r="G42" s="7"/>
      <c r="H42" s="383" t="s">
        <v>148</v>
      </c>
      <c r="I42" s="383"/>
      <c r="J42" s="383"/>
      <c r="L42" s="8"/>
      <c r="M42" s="8"/>
    </row>
    <row r="43" spans="1:13" ht="38.25" customHeight="1">
      <c r="A43" s="203">
        <f>A42+0.03</f>
        <v>4.04</v>
      </c>
      <c r="B43" s="203" t="s">
        <v>26</v>
      </c>
      <c r="C43" s="203">
        <v>83463</v>
      </c>
      <c r="D43" s="232" t="s">
        <v>189</v>
      </c>
      <c r="E43" s="203" t="s">
        <v>11</v>
      </c>
      <c r="F43" s="231">
        <v>1</v>
      </c>
      <c r="G43" s="7"/>
      <c r="H43" s="383" t="s">
        <v>128</v>
      </c>
      <c r="I43" s="383"/>
      <c r="J43" s="383"/>
      <c r="L43" s="8"/>
      <c r="M43" s="8"/>
    </row>
    <row r="44" spans="1:13" ht="38.25" customHeight="1">
      <c r="A44" s="203">
        <f>A43+0.02</f>
        <v>4.06</v>
      </c>
      <c r="B44" s="203" t="s">
        <v>26</v>
      </c>
      <c r="C44" s="203" t="s">
        <v>149</v>
      </c>
      <c r="D44" s="232" t="s">
        <v>150</v>
      </c>
      <c r="E44" s="203" t="s">
        <v>11</v>
      </c>
      <c r="F44" s="231">
        <v>8</v>
      </c>
      <c r="G44" s="7"/>
      <c r="H44" s="384" t="s">
        <v>180</v>
      </c>
      <c r="I44" s="385"/>
      <c r="J44" s="386"/>
      <c r="L44" s="8"/>
      <c r="M44" s="8"/>
    </row>
    <row r="45" spans="1:13" ht="12.75">
      <c r="A45" s="203">
        <f aca="true" t="shared" si="2" ref="A45:A54">A44+0.01</f>
        <v>4.069999999999999</v>
      </c>
      <c r="B45" s="203" t="s">
        <v>26</v>
      </c>
      <c r="C45" s="203" t="s">
        <v>105</v>
      </c>
      <c r="D45" s="1" t="s">
        <v>106</v>
      </c>
      <c r="E45" s="203" t="s">
        <v>11</v>
      </c>
      <c r="F45" s="231">
        <v>8</v>
      </c>
      <c r="G45" s="7"/>
      <c r="H45" s="384" t="s">
        <v>179</v>
      </c>
      <c r="I45" s="385"/>
      <c r="J45" s="386"/>
      <c r="L45" s="8"/>
      <c r="M45" s="8"/>
    </row>
    <row r="46" spans="1:13" ht="25.5">
      <c r="A46" s="203">
        <f t="shared" si="2"/>
        <v>4.079999999999999</v>
      </c>
      <c r="B46" s="203" t="s">
        <v>26</v>
      </c>
      <c r="C46" s="203" t="s">
        <v>121</v>
      </c>
      <c r="D46" s="1" t="s">
        <v>122</v>
      </c>
      <c r="E46" s="203" t="s">
        <v>11</v>
      </c>
      <c r="F46" s="231">
        <v>4</v>
      </c>
      <c r="G46" s="7"/>
      <c r="H46" s="384" t="s">
        <v>152</v>
      </c>
      <c r="I46" s="385"/>
      <c r="J46" s="386"/>
      <c r="L46" s="8"/>
      <c r="M46" s="8"/>
    </row>
    <row r="47" spans="1:13" ht="29.25" customHeight="1">
      <c r="A47" s="203">
        <f t="shared" si="2"/>
        <v>4.089999999999999</v>
      </c>
      <c r="B47" s="203" t="s">
        <v>26</v>
      </c>
      <c r="C47" s="203">
        <v>83447</v>
      </c>
      <c r="D47" s="1" t="s">
        <v>104</v>
      </c>
      <c r="E47" s="203" t="s">
        <v>11</v>
      </c>
      <c r="F47" s="231">
        <v>5</v>
      </c>
      <c r="G47" s="7"/>
      <c r="H47" s="384" t="s">
        <v>178</v>
      </c>
      <c r="I47" s="385"/>
      <c r="J47" s="386"/>
      <c r="L47" s="8"/>
      <c r="M47" s="8"/>
    </row>
    <row r="48" spans="1:13" ht="12.75">
      <c r="A48" s="203">
        <f t="shared" si="2"/>
        <v>4.099999999999999</v>
      </c>
      <c r="B48" s="203" t="s">
        <v>26</v>
      </c>
      <c r="C48" s="203">
        <v>72250</v>
      </c>
      <c r="D48" s="232" t="s">
        <v>190</v>
      </c>
      <c r="E48" s="203" t="s">
        <v>0</v>
      </c>
      <c r="F48" s="235">
        <v>10</v>
      </c>
      <c r="G48" s="7"/>
      <c r="H48" s="384" t="s">
        <v>134</v>
      </c>
      <c r="I48" s="385"/>
      <c r="J48" s="386"/>
      <c r="L48" s="8"/>
      <c r="M48" s="8"/>
    </row>
    <row r="49" spans="1:13" ht="25.5">
      <c r="A49" s="203">
        <f t="shared" si="2"/>
        <v>4.1099999999999985</v>
      </c>
      <c r="B49" s="203" t="s">
        <v>26</v>
      </c>
      <c r="C49" s="203">
        <v>91856</v>
      </c>
      <c r="D49" s="232" t="s">
        <v>191</v>
      </c>
      <c r="E49" s="203" t="s">
        <v>0</v>
      </c>
      <c r="F49" s="235">
        <v>123</v>
      </c>
      <c r="G49" s="7"/>
      <c r="H49" s="384" t="s">
        <v>134</v>
      </c>
      <c r="I49" s="385"/>
      <c r="J49" s="386"/>
      <c r="L49" s="8"/>
      <c r="M49" s="8"/>
    </row>
    <row r="50" spans="1:13" ht="25.5">
      <c r="A50" s="203">
        <f t="shared" si="2"/>
        <v>4.119999999999998</v>
      </c>
      <c r="B50" s="203" t="s">
        <v>26</v>
      </c>
      <c r="C50" s="203">
        <v>91872</v>
      </c>
      <c r="D50" s="232" t="s">
        <v>192</v>
      </c>
      <c r="E50" s="203" t="s">
        <v>0</v>
      </c>
      <c r="F50" s="235">
        <v>27</v>
      </c>
      <c r="G50" s="7"/>
      <c r="H50" s="384" t="s">
        <v>134</v>
      </c>
      <c r="I50" s="385"/>
      <c r="J50" s="386"/>
      <c r="L50" s="8"/>
      <c r="M50" s="8"/>
    </row>
    <row r="51" spans="1:13" ht="12.75">
      <c r="A51" s="203">
        <f>A50+0.04</f>
        <v>4.159999999999998</v>
      </c>
      <c r="B51" s="203" t="s">
        <v>26</v>
      </c>
      <c r="C51" s="203">
        <v>83399</v>
      </c>
      <c r="D51" s="232" t="s">
        <v>160</v>
      </c>
      <c r="E51" s="203" t="s">
        <v>11</v>
      </c>
      <c r="F51" s="231">
        <v>4</v>
      </c>
      <c r="G51" s="3"/>
      <c r="H51" s="392" t="s">
        <v>177</v>
      </c>
      <c r="I51" s="392"/>
      <c r="J51" s="392"/>
      <c r="L51" s="8"/>
      <c r="M51" s="8"/>
    </row>
    <row r="52" spans="1:13" ht="25.5">
      <c r="A52" s="203">
        <f t="shared" si="2"/>
        <v>4.169999999999998</v>
      </c>
      <c r="B52" s="203" t="s">
        <v>26</v>
      </c>
      <c r="C52" s="203">
        <v>91929</v>
      </c>
      <c r="D52" s="232" t="s">
        <v>194</v>
      </c>
      <c r="E52" s="203" t="s">
        <v>0</v>
      </c>
      <c r="F52" s="235">
        <v>200</v>
      </c>
      <c r="G52" s="7"/>
      <c r="H52" s="384" t="s">
        <v>134</v>
      </c>
      <c r="I52" s="385"/>
      <c r="J52" s="386"/>
      <c r="L52" s="8"/>
      <c r="M52" s="8"/>
    </row>
    <row r="53" spans="1:13" ht="25.5">
      <c r="A53" s="203">
        <f t="shared" si="2"/>
        <v>4.179999999999998</v>
      </c>
      <c r="B53" s="203" t="s">
        <v>26</v>
      </c>
      <c r="C53" s="203">
        <v>91929</v>
      </c>
      <c r="D53" s="232" t="s">
        <v>195</v>
      </c>
      <c r="E53" s="203" t="s">
        <v>0</v>
      </c>
      <c r="F53" s="235">
        <v>200</v>
      </c>
      <c r="G53" s="7"/>
      <c r="H53" s="384" t="s">
        <v>134</v>
      </c>
      <c r="I53" s="385"/>
      <c r="J53" s="386"/>
      <c r="L53" s="8"/>
      <c r="M53" s="8"/>
    </row>
    <row r="54" spans="1:12" ht="25.5">
      <c r="A54" s="203">
        <f t="shared" si="2"/>
        <v>4.189999999999998</v>
      </c>
      <c r="B54" s="203" t="s">
        <v>26</v>
      </c>
      <c r="C54" s="203">
        <v>91929</v>
      </c>
      <c r="D54" s="232" t="s">
        <v>196</v>
      </c>
      <c r="E54" s="203" t="s">
        <v>0</v>
      </c>
      <c r="F54" s="235">
        <v>140</v>
      </c>
      <c r="G54" s="3"/>
      <c r="H54" s="384" t="s">
        <v>134</v>
      </c>
      <c r="I54" s="385"/>
      <c r="J54" s="386"/>
      <c r="L54" s="8"/>
    </row>
    <row r="55" spans="1:13" ht="12.75">
      <c r="A55" s="203">
        <f>A54+0.02</f>
        <v>4.209999999999997</v>
      </c>
      <c r="B55" s="203" t="s">
        <v>26</v>
      </c>
      <c r="C55" s="203">
        <v>72281</v>
      </c>
      <c r="D55" s="232" t="s">
        <v>164</v>
      </c>
      <c r="E55" s="203" t="s">
        <v>11</v>
      </c>
      <c r="F55" s="231">
        <v>8</v>
      </c>
      <c r="G55" s="3"/>
      <c r="H55" s="392" t="s">
        <v>176</v>
      </c>
      <c r="I55" s="392"/>
      <c r="J55" s="392"/>
      <c r="L55" s="8"/>
      <c r="M55" s="8"/>
    </row>
    <row r="56" spans="1:10" ht="12.75">
      <c r="A56" s="211"/>
      <c r="B56" s="211"/>
      <c r="C56" s="211"/>
      <c r="E56" s="183"/>
      <c r="F56" s="7"/>
      <c r="G56" s="7"/>
      <c r="H56" s="7"/>
      <c r="I56" s="7"/>
      <c r="J56" s="7"/>
    </row>
    <row r="57" spans="1:10" ht="12.75">
      <c r="A57" s="211"/>
      <c r="B57" s="211"/>
      <c r="C57" s="211"/>
      <c r="E57" s="220"/>
      <c r="F57" s="7"/>
      <c r="G57" s="7"/>
      <c r="H57" s="7"/>
      <c r="I57" s="7"/>
      <c r="J57" s="7"/>
    </row>
    <row r="58" spans="1:10" ht="12.75">
      <c r="A58" s="30">
        <v>5</v>
      </c>
      <c r="B58" s="203"/>
      <c r="C58" s="203"/>
      <c r="D58" s="29" t="s">
        <v>15</v>
      </c>
      <c r="E58" s="203"/>
      <c r="F58" s="13" t="s">
        <v>3</v>
      </c>
      <c r="G58" s="7"/>
      <c r="H58" s="5"/>
      <c r="I58" s="5"/>
      <c r="J58" s="5"/>
    </row>
    <row r="59" spans="1:10" ht="15.75" customHeight="1">
      <c r="A59" s="203">
        <f aca="true" t="shared" si="3" ref="A59:A64">A58+0.01</f>
        <v>5.01</v>
      </c>
      <c r="B59" s="203" t="s">
        <v>26</v>
      </c>
      <c r="C59" s="203">
        <v>79472</v>
      </c>
      <c r="D59" s="1" t="s">
        <v>31</v>
      </c>
      <c r="E59" s="203" t="s">
        <v>10</v>
      </c>
      <c r="F59" s="202">
        <v>4392.95</v>
      </c>
      <c r="G59" s="7"/>
      <c r="H59" s="389" t="s">
        <v>129</v>
      </c>
      <c r="I59" s="390"/>
      <c r="J59" s="391"/>
    </row>
    <row r="60" spans="1:10" ht="25.5">
      <c r="A60" s="203">
        <f t="shared" si="3"/>
        <v>5.02</v>
      </c>
      <c r="B60" s="203" t="s">
        <v>26</v>
      </c>
      <c r="C60" s="203">
        <v>92396</v>
      </c>
      <c r="D60" s="47" t="s">
        <v>140</v>
      </c>
      <c r="E60" s="203" t="s">
        <v>10</v>
      </c>
      <c r="F60" s="231">
        <v>649.25</v>
      </c>
      <c r="G60" s="7"/>
      <c r="H60" s="384" t="s">
        <v>223</v>
      </c>
      <c r="I60" s="385"/>
      <c r="J60" s="386"/>
    </row>
    <row r="61" spans="1:10" ht="29.25" customHeight="1">
      <c r="A61" s="203">
        <f t="shared" si="3"/>
        <v>5.029999999999999</v>
      </c>
      <c r="B61" s="203" t="s">
        <v>26</v>
      </c>
      <c r="C61" s="203">
        <v>72132</v>
      </c>
      <c r="D61" s="1" t="s">
        <v>116</v>
      </c>
      <c r="E61" s="203" t="s">
        <v>10</v>
      </c>
      <c r="F61" s="202">
        <v>4.32</v>
      </c>
      <c r="G61" s="7"/>
      <c r="H61" s="384" t="s">
        <v>130</v>
      </c>
      <c r="I61" s="385"/>
      <c r="J61" s="386"/>
    </row>
    <row r="62" spans="1:10" ht="27" customHeight="1">
      <c r="A62" s="203">
        <f t="shared" si="3"/>
        <v>5.039999999999999</v>
      </c>
      <c r="B62" s="203" t="s">
        <v>26</v>
      </c>
      <c r="C62" s="203" t="s">
        <v>114</v>
      </c>
      <c r="D62" s="1" t="s">
        <v>115</v>
      </c>
      <c r="E62" s="203" t="s">
        <v>113</v>
      </c>
      <c r="F62" s="219">
        <v>1.92</v>
      </c>
      <c r="G62" s="7"/>
      <c r="H62" s="392" t="s">
        <v>131</v>
      </c>
      <c r="I62" s="392"/>
      <c r="J62" s="392"/>
    </row>
    <row r="63" spans="1:10" ht="26.25" customHeight="1">
      <c r="A63" s="203">
        <f t="shared" si="3"/>
        <v>5.049999999999999</v>
      </c>
      <c r="B63" s="203" t="s">
        <v>26</v>
      </c>
      <c r="C63" s="203">
        <v>75481</v>
      </c>
      <c r="D63" s="1" t="s">
        <v>141</v>
      </c>
      <c r="E63" s="203" t="s">
        <v>10</v>
      </c>
      <c r="F63" s="219">
        <f>1.71*6</f>
        <v>10.26</v>
      </c>
      <c r="G63" s="7"/>
      <c r="H63" s="384" t="s">
        <v>146</v>
      </c>
      <c r="I63" s="385"/>
      <c r="J63" s="386"/>
    </row>
    <row r="64" spans="1:10" ht="56.25" customHeight="1">
      <c r="A64" s="203">
        <f t="shared" si="3"/>
        <v>5.059999999999999</v>
      </c>
      <c r="B64" s="203" t="s">
        <v>26</v>
      </c>
      <c r="C64" s="203" t="s">
        <v>142</v>
      </c>
      <c r="D64" s="1" t="s">
        <v>143</v>
      </c>
      <c r="E64" s="203" t="s">
        <v>10</v>
      </c>
      <c r="F64" s="219">
        <f>5.79*6</f>
        <v>34.74</v>
      </c>
      <c r="G64" s="7"/>
      <c r="H64" s="392" t="s">
        <v>147</v>
      </c>
      <c r="I64" s="392"/>
      <c r="J64" s="392"/>
    </row>
    <row r="65" spans="6:10" ht="12.75">
      <c r="F65" s="3"/>
      <c r="G65" s="3"/>
      <c r="H65" s="184"/>
      <c r="I65" s="7"/>
      <c r="J65" s="7"/>
    </row>
    <row r="66" spans="1:10" ht="12.75">
      <c r="A66" s="30">
        <v>6</v>
      </c>
      <c r="B66" s="203"/>
      <c r="C66" s="203"/>
      <c r="D66" s="29" t="s">
        <v>24</v>
      </c>
      <c r="E66" s="203"/>
      <c r="F66" s="13" t="s">
        <v>3</v>
      </c>
      <c r="G66" s="7"/>
      <c r="H66" s="5"/>
      <c r="I66" s="5"/>
      <c r="J66" s="5"/>
    </row>
    <row r="67" spans="1:10" ht="12.75">
      <c r="A67" s="203">
        <f>A66+0.01</f>
        <v>6.01</v>
      </c>
      <c r="B67" s="203" t="s">
        <v>198</v>
      </c>
      <c r="C67" s="203">
        <v>270210</v>
      </c>
      <c r="D67" s="1" t="s">
        <v>120</v>
      </c>
      <c r="E67" s="203" t="s">
        <v>10</v>
      </c>
      <c r="F67" s="202">
        <v>3713.99</v>
      </c>
      <c r="G67" s="7"/>
      <c r="H67" s="393" t="s">
        <v>134</v>
      </c>
      <c r="I67" s="394"/>
      <c r="J67" s="395"/>
    </row>
    <row r="68" spans="6:10" ht="12.75">
      <c r="F68" s="3"/>
      <c r="G68" s="3"/>
      <c r="H68" s="184"/>
      <c r="I68" s="7"/>
      <c r="J68" s="7"/>
    </row>
    <row r="69" spans="1:10" ht="17.25" customHeight="1">
      <c r="A69" s="289" t="s">
        <v>30</v>
      </c>
      <c r="B69" s="289"/>
      <c r="C69" s="183"/>
      <c r="F69" s="3"/>
      <c r="G69" s="3"/>
      <c r="H69" s="184"/>
      <c r="I69" s="7"/>
      <c r="J69" s="7"/>
    </row>
    <row r="70" spans="1:13" s="183" customFormat="1" ht="21.75" customHeight="1">
      <c r="A70" s="10" t="s">
        <v>1</v>
      </c>
      <c r="B70" s="10" t="s">
        <v>25</v>
      </c>
      <c r="C70" s="10" t="s">
        <v>7</v>
      </c>
      <c r="D70" s="10" t="s">
        <v>2</v>
      </c>
      <c r="E70" s="10"/>
      <c r="F70" s="11" t="s">
        <v>3</v>
      </c>
      <c r="G70" s="5"/>
      <c r="H70" s="5"/>
      <c r="I70" s="5"/>
      <c r="J70" s="5"/>
      <c r="L70" s="398"/>
      <c r="M70" s="398"/>
    </row>
    <row r="71" spans="1:10" ht="12.75">
      <c r="A71" s="30">
        <v>7</v>
      </c>
      <c r="B71" s="203"/>
      <c r="C71" s="203"/>
      <c r="D71" s="29" t="s">
        <v>14</v>
      </c>
      <c r="E71" s="203"/>
      <c r="F71" s="13" t="s">
        <v>3</v>
      </c>
      <c r="G71" s="7"/>
      <c r="H71" s="7"/>
      <c r="I71" s="7"/>
      <c r="J71" s="7"/>
    </row>
    <row r="72" spans="1:13" ht="35.25" customHeight="1">
      <c r="A72" s="203">
        <f>A71+0.01</f>
        <v>7.01</v>
      </c>
      <c r="B72" s="203" t="s">
        <v>26</v>
      </c>
      <c r="C72" s="203">
        <v>9540</v>
      </c>
      <c r="D72" s="233" t="s">
        <v>167</v>
      </c>
      <c r="E72" s="203" t="s">
        <v>11</v>
      </c>
      <c r="F72" s="231">
        <v>1</v>
      </c>
      <c r="G72" s="7"/>
      <c r="H72" s="383" t="s">
        <v>148</v>
      </c>
      <c r="I72" s="383"/>
      <c r="J72" s="383"/>
      <c r="L72" s="8"/>
      <c r="M72" s="8"/>
    </row>
    <row r="73" spans="1:13" ht="38.25" customHeight="1">
      <c r="A73" s="203">
        <f>A72+0.03</f>
        <v>7.04</v>
      </c>
      <c r="B73" s="203" t="s">
        <v>26</v>
      </c>
      <c r="C73" s="203">
        <v>83463</v>
      </c>
      <c r="D73" s="232" t="s">
        <v>189</v>
      </c>
      <c r="E73" s="203" t="s">
        <v>11</v>
      </c>
      <c r="F73" s="231">
        <v>1</v>
      </c>
      <c r="G73" s="7"/>
      <c r="H73" s="383" t="s">
        <v>128</v>
      </c>
      <c r="I73" s="383"/>
      <c r="J73" s="383"/>
      <c r="L73" s="8"/>
      <c r="M73" s="8"/>
    </row>
    <row r="74" spans="1:13" ht="38.25" customHeight="1">
      <c r="A74" s="203">
        <f>A73+0.02</f>
        <v>7.06</v>
      </c>
      <c r="B74" s="203" t="s">
        <v>26</v>
      </c>
      <c r="C74" s="203" t="s">
        <v>149</v>
      </c>
      <c r="D74" s="232" t="s">
        <v>150</v>
      </c>
      <c r="E74" s="203" t="s">
        <v>11</v>
      </c>
      <c r="F74" s="231">
        <v>4</v>
      </c>
      <c r="G74" s="7"/>
      <c r="H74" s="384" t="s">
        <v>185</v>
      </c>
      <c r="I74" s="385"/>
      <c r="J74" s="386"/>
      <c r="L74" s="8"/>
      <c r="M74" s="8"/>
    </row>
    <row r="75" spans="1:13" ht="12.75">
      <c r="A75" s="203">
        <f aca="true" t="shared" si="4" ref="A75:A84">A74+0.01</f>
        <v>7.069999999999999</v>
      </c>
      <c r="B75" s="203" t="s">
        <v>26</v>
      </c>
      <c r="C75" s="203" t="s">
        <v>105</v>
      </c>
      <c r="D75" s="1" t="s">
        <v>106</v>
      </c>
      <c r="E75" s="203" t="s">
        <v>11</v>
      </c>
      <c r="F75" s="231">
        <v>4</v>
      </c>
      <c r="G75" s="7"/>
      <c r="H75" s="384" t="s">
        <v>186</v>
      </c>
      <c r="I75" s="385"/>
      <c r="J75" s="386"/>
      <c r="L75" s="8"/>
      <c r="M75" s="8"/>
    </row>
    <row r="76" spans="1:13" ht="25.5">
      <c r="A76" s="203">
        <f t="shared" si="4"/>
        <v>7.079999999999999</v>
      </c>
      <c r="B76" s="203" t="s">
        <v>26</v>
      </c>
      <c r="C76" s="203" t="s">
        <v>121</v>
      </c>
      <c r="D76" s="1" t="s">
        <v>122</v>
      </c>
      <c r="E76" s="203" t="s">
        <v>11</v>
      </c>
      <c r="F76" s="231">
        <v>2</v>
      </c>
      <c r="G76" s="7"/>
      <c r="H76" s="384" t="s">
        <v>153</v>
      </c>
      <c r="I76" s="385"/>
      <c r="J76" s="386"/>
      <c r="L76" s="8"/>
      <c r="M76" s="8"/>
    </row>
    <row r="77" spans="1:13" ht="29.25" customHeight="1">
      <c r="A77" s="203">
        <f t="shared" si="4"/>
        <v>7.089999999999999</v>
      </c>
      <c r="B77" s="203" t="s">
        <v>26</v>
      </c>
      <c r="C77" s="203">
        <v>83447</v>
      </c>
      <c r="D77" s="1" t="s">
        <v>104</v>
      </c>
      <c r="E77" s="203" t="s">
        <v>11</v>
      </c>
      <c r="F77" s="231">
        <v>3</v>
      </c>
      <c r="G77" s="7"/>
      <c r="H77" s="384" t="s">
        <v>184</v>
      </c>
      <c r="I77" s="385"/>
      <c r="J77" s="386"/>
      <c r="L77" s="8"/>
      <c r="M77" s="8"/>
    </row>
    <row r="78" spans="1:13" ht="12.75">
      <c r="A78" s="203">
        <f t="shared" si="4"/>
        <v>7.099999999999999</v>
      </c>
      <c r="B78" s="203" t="s">
        <v>26</v>
      </c>
      <c r="C78" s="203">
        <v>72250</v>
      </c>
      <c r="D78" s="232" t="s">
        <v>190</v>
      </c>
      <c r="E78" s="203" t="s">
        <v>0</v>
      </c>
      <c r="F78" s="235">
        <v>10</v>
      </c>
      <c r="G78" s="7"/>
      <c r="H78" s="384" t="s">
        <v>134</v>
      </c>
      <c r="I78" s="385"/>
      <c r="J78" s="386"/>
      <c r="L78" s="8"/>
      <c r="M78" s="8"/>
    </row>
    <row r="79" spans="1:13" ht="25.5">
      <c r="A79" s="203">
        <f t="shared" si="4"/>
        <v>7.1099999999999985</v>
      </c>
      <c r="B79" s="203" t="s">
        <v>26</v>
      </c>
      <c r="C79" s="203">
        <v>91856</v>
      </c>
      <c r="D79" s="232" t="s">
        <v>191</v>
      </c>
      <c r="E79" s="203" t="s">
        <v>0</v>
      </c>
      <c r="F79" s="235">
        <v>51</v>
      </c>
      <c r="G79" s="7"/>
      <c r="H79" s="384" t="s">
        <v>134</v>
      </c>
      <c r="I79" s="385"/>
      <c r="J79" s="386"/>
      <c r="L79" s="8"/>
      <c r="M79" s="8"/>
    </row>
    <row r="80" spans="1:13" ht="25.5">
      <c r="A80" s="203">
        <f t="shared" si="4"/>
        <v>7.119999999999998</v>
      </c>
      <c r="B80" s="203" t="s">
        <v>26</v>
      </c>
      <c r="C80" s="203">
        <v>91872</v>
      </c>
      <c r="D80" s="232" t="s">
        <v>192</v>
      </c>
      <c r="E80" s="203" t="s">
        <v>0</v>
      </c>
      <c r="F80" s="235">
        <v>15</v>
      </c>
      <c r="G80" s="7"/>
      <c r="H80" s="384" t="s">
        <v>134</v>
      </c>
      <c r="I80" s="385"/>
      <c r="J80" s="386"/>
      <c r="L80" s="8"/>
      <c r="M80" s="8"/>
    </row>
    <row r="81" spans="1:13" ht="12.75">
      <c r="A81" s="203">
        <f>A80+0.04</f>
        <v>7.159999999999998</v>
      </c>
      <c r="B81" s="203" t="s">
        <v>26</v>
      </c>
      <c r="C81" s="203">
        <v>83399</v>
      </c>
      <c r="D81" s="232" t="s">
        <v>160</v>
      </c>
      <c r="E81" s="203" t="s">
        <v>11</v>
      </c>
      <c r="F81" s="231">
        <v>2</v>
      </c>
      <c r="G81" s="3"/>
      <c r="H81" s="392" t="s">
        <v>183</v>
      </c>
      <c r="I81" s="392"/>
      <c r="J81" s="392"/>
      <c r="L81" s="8"/>
      <c r="M81" s="8"/>
    </row>
    <row r="82" spans="1:13" ht="25.5">
      <c r="A82" s="203">
        <f t="shared" si="4"/>
        <v>7.169999999999998</v>
      </c>
      <c r="B82" s="203" t="s">
        <v>26</v>
      </c>
      <c r="C82" s="203">
        <v>91929</v>
      </c>
      <c r="D82" s="232" t="s">
        <v>194</v>
      </c>
      <c r="E82" s="203" t="s">
        <v>0</v>
      </c>
      <c r="F82" s="235">
        <v>85</v>
      </c>
      <c r="G82" s="7"/>
      <c r="H82" s="384" t="s">
        <v>134</v>
      </c>
      <c r="I82" s="385"/>
      <c r="J82" s="386"/>
      <c r="L82" s="8"/>
      <c r="M82" s="8"/>
    </row>
    <row r="83" spans="1:13" ht="25.5">
      <c r="A83" s="203">
        <f t="shared" si="4"/>
        <v>7.179999999999998</v>
      </c>
      <c r="B83" s="203" t="s">
        <v>26</v>
      </c>
      <c r="C83" s="203">
        <v>91929</v>
      </c>
      <c r="D83" s="232" t="s">
        <v>195</v>
      </c>
      <c r="E83" s="203" t="s">
        <v>0</v>
      </c>
      <c r="F83" s="235">
        <v>85</v>
      </c>
      <c r="G83" s="7"/>
      <c r="H83" s="384" t="s">
        <v>134</v>
      </c>
      <c r="I83" s="385"/>
      <c r="J83" s="386"/>
      <c r="L83" s="8"/>
      <c r="M83" s="8"/>
    </row>
    <row r="84" spans="1:12" ht="25.5">
      <c r="A84" s="203">
        <f t="shared" si="4"/>
        <v>7.189999999999998</v>
      </c>
      <c r="B84" s="203" t="s">
        <v>26</v>
      </c>
      <c r="C84" s="203">
        <v>91929</v>
      </c>
      <c r="D84" s="232" t="s">
        <v>196</v>
      </c>
      <c r="E84" s="203" t="s">
        <v>0</v>
      </c>
      <c r="F84" s="235">
        <v>65</v>
      </c>
      <c r="G84" s="3"/>
      <c r="H84" s="384" t="s">
        <v>134</v>
      </c>
      <c r="I84" s="385"/>
      <c r="J84" s="386"/>
      <c r="L84" s="8"/>
    </row>
    <row r="85" spans="1:13" ht="12.75">
      <c r="A85" s="203">
        <f>A84+0.02</f>
        <v>7.209999999999997</v>
      </c>
      <c r="B85" s="203" t="s">
        <v>26</v>
      </c>
      <c r="C85" s="203">
        <v>72281</v>
      </c>
      <c r="D85" s="232" t="s">
        <v>164</v>
      </c>
      <c r="E85" s="203" t="s">
        <v>11</v>
      </c>
      <c r="F85" s="231">
        <v>4</v>
      </c>
      <c r="G85" s="3"/>
      <c r="H85" s="392" t="s">
        <v>182</v>
      </c>
      <c r="I85" s="392"/>
      <c r="J85" s="392"/>
      <c r="L85" s="8"/>
      <c r="M85" s="8"/>
    </row>
    <row r="86" spans="1:10" ht="17.25" customHeight="1">
      <c r="A86" s="211"/>
      <c r="B86" s="211"/>
      <c r="C86" s="230"/>
      <c r="F86" s="3"/>
      <c r="G86" s="3"/>
      <c r="H86" s="184"/>
      <c r="I86" s="7"/>
      <c r="J86" s="7"/>
    </row>
    <row r="87" spans="1:10" ht="12.75">
      <c r="A87" s="30">
        <v>8</v>
      </c>
      <c r="B87" s="203"/>
      <c r="C87" s="203"/>
      <c r="D87" s="29" t="s">
        <v>15</v>
      </c>
      <c r="E87" s="203"/>
      <c r="F87" s="13" t="s">
        <v>3</v>
      </c>
      <c r="G87" s="7"/>
      <c r="H87" s="387"/>
      <c r="I87" s="5"/>
      <c r="J87" s="387"/>
    </row>
    <row r="88" spans="1:10" ht="12.75">
      <c r="A88" s="2"/>
      <c r="B88" s="2"/>
      <c r="C88" s="2"/>
      <c r="D88" s="1"/>
      <c r="E88" s="2"/>
      <c r="F88" s="6"/>
      <c r="G88" s="7"/>
      <c r="H88" s="387"/>
      <c r="I88" s="5"/>
      <c r="J88" s="387"/>
    </row>
    <row r="89" spans="1:10" ht="12.75" customHeight="1">
      <c r="A89" s="203">
        <f>A87+0.01</f>
        <v>8.01</v>
      </c>
      <c r="B89" s="203" t="s">
        <v>26</v>
      </c>
      <c r="C89" s="203">
        <v>79472</v>
      </c>
      <c r="D89" s="1" t="s">
        <v>31</v>
      </c>
      <c r="E89" s="203" t="s">
        <v>10</v>
      </c>
      <c r="F89" s="202">
        <v>1304.95</v>
      </c>
      <c r="G89" s="7"/>
      <c r="H89" s="383" t="s">
        <v>129</v>
      </c>
      <c r="I89" s="383"/>
      <c r="J89" s="383"/>
    </row>
    <row r="90" spans="1:10" ht="31.5" customHeight="1">
      <c r="A90" s="203">
        <f aca="true" t="shared" si="5" ref="A90:A95">A89+0.01</f>
        <v>8.02</v>
      </c>
      <c r="B90" s="203" t="s">
        <v>26</v>
      </c>
      <c r="C90" s="203">
        <v>92396</v>
      </c>
      <c r="D90" s="47" t="s">
        <v>140</v>
      </c>
      <c r="E90" s="203" t="s">
        <v>10</v>
      </c>
      <c r="F90" s="231">
        <v>402.64</v>
      </c>
      <c r="G90" s="7"/>
      <c r="H90" s="384" t="s">
        <v>181</v>
      </c>
      <c r="I90" s="385"/>
      <c r="J90" s="386"/>
    </row>
    <row r="91" spans="1:10" ht="12.75" customHeight="1">
      <c r="A91" s="203">
        <f t="shared" si="5"/>
        <v>8.03</v>
      </c>
      <c r="B91" s="203" t="s">
        <v>26</v>
      </c>
      <c r="C91" s="203" t="s">
        <v>111</v>
      </c>
      <c r="D91" s="47" t="s">
        <v>112</v>
      </c>
      <c r="E91" s="203" t="s">
        <v>0</v>
      </c>
      <c r="F91" s="202">
        <v>196</v>
      </c>
      <c r="G91" s="7"/>
      <c r="H91" s="384" t="s">
        <v>135</v>
      </c>
      <c r="I91" s="385"/>
      <c r="J91" s="386"/>
    </row>
    <row r="92" spans="1:10" ht="12.75" customHeight="1">
      <c r="A92" s="203">
        <f t="shared" si="5"/>
        <v>8.04</v>
      </c>
      <c r="B92" s="203" t="s">
        <v>26</v>
      </c>
      <c r="C92" s="203">
        <v>72132</v>
      </c>
      <c r="D92" s="1" t="s">
        <v>116</v>
      </c>
      <c r="E92" s="203" t="s">
        <v>10</v>
      </c>
      <c r="F92" s="202">
        <v>2.88</v>
      </c>
      <c r="G92" s="7"/>
      <c r="H92" s="384" t="s">
        <v>137</v>
      </c>
      <c r="I92" s="385"/>
      <c r="J92" s="386"/>
    </row>
    <row r="93" spans="1:10" ht="12.75" customHeight="1">
      <c r="A93" s="203">
        <f t="shared" si="5"/>
        <v>8.049999999999999</v>
      </c>
      <c r="B93" s="203" t="s">
        <v>26</v>
      </c>
      <c r="C93" s="203" t="s">
        <v>114</v>
      </c>
      <c r="D93" s="1" t="s">
        <v>115</v>
      </c>
      <c r="E93" s="203" t="s">
        <v>113</v>
      </c>
      <c r="F93" s="219">
        <v>1.28</v>
      </c>
      <c r="G93" s="3"/>
      <c r="H93" s="393" t="s">
        <v>136</v>
      </c>
      <c r="I93" s="394"/>
      <c r="J93" s="395"/>
    </row>
    <row r="94" spans="1:10" ht="25.5" customHeight="1">
      <c r="A94" s="203">
        <f t="shared" si="5"/>
        <v>8.059999999999999</v>
      </c>
      <c r="B94" s="203" t="s">
        <v>26</v>
      </c>
      <c r="C94" s="203">
        <v>75481</v>
      </c>
      <c r="D94" s="1" t="s">
        <v>141</v>
      </c>
      <c r="E94" s="203" t="s">
        <v>10</v>
      </c>
      <c r="F94" s="219">
        <f>1.71*4</f>
        <v>6.84</v>
      </c>
      <c r="G94" s="7"/>
      <c r="H94" s="384" t="s">
        <v>144</v>
      </c>
      <c r="I94" s="385"/>
      <c r="J94" s="386"/>
    </row>
    <row r="95" spans="1:10" ht="57.75" customHeight="1">
      <c r="A95" s="203">
        <f t="shared" si="5"/>
        <v>8.069999999999999</v>
      </c>
      <c r="B95" s="203" t="s">
        <v>26</v>
      </c>
      <c r="C95" s="203" t="s">
        <v>142</v>
      </c>
      <c r="D95" s="1" t="s">
        <v>143</v>
      </c>
      <c r="E95" s="203" t="s">
        <v>10</v>
      </c>
      <c r="F95" s="219">
        <f>5.79*4</f>
        <v>23.16</v>
      </c>
      <c r="G95" s="7"/>
      <c r="H95" s="393" t="s">
        <v>145</v>
      </c>
      <c r="I95" s="394"/>
      <c r="J95" s="395"/>
    </row>
    <row r="96" spans="1:10" ht="12.75">
      <c r="A96" s="183"/>
      <c r="C96" s="183"/>
      <c r="E96" s="183"/>
      <c r="F96" s="7"/>
      <c r="G96" s="7"/>
      <c r="H96" s="7"/>
      <c r="I96" s="7"/>
      <c r="J96" s="7"/>
    </row>
    <row r="97" spans="1:10" ht="12.75">
      <c r="A97" s="30">
        <v>9</v>
      </c>
      <c r="B97" s="2"/>
      <c r="C97" s="2"/>
      <c r="D97" s="29" t="s">
        <v>24</v>
      </c>
      <c r="E97" s="2"/>
      <c r="F97" s="13" t="s">
        <v>3</v>
      </c>
      <c r="G97" s="7"/>
      <c r="H97" s="387"/>
      <c r="I97" s="5"/>
      <c r="J97" s="387"/>
    </row>
    <row r="98" spans="1:10" ht="12.75">
      <c r="A98" s="2"/>
      <c r="B98" s="2"/>
      <c r="C98" s="2"/>
      <c r="D98" s="1"/>
      <c r="E98" s="2"/>
      <c r="F98" s="6"/>
      <c r="G98" s="7"/>
      <c r="H98" s="387"/>
      <c r="I98" s="5"/>
      <c r="J98" s="387"/>
    </row>
    <row r="99" spans="1:10" ht="20.25" customHeight="1">
      <c r="A99" s="203">
        <f>A97+0.01</f>
        <v>9.01</v>
      </c>
      <c r="B99" s="203" t="s">
        <v>198</v>
      </c>
      <c r="C99" s="203">
        <v>270210</v>
      </c>
      <c r="D99" s="1" t="s">
        <v>120</v>
      </c>
      <c r="E99" s="203" t="s">
        <v>10</v>
      </c>
      <c r="F99" s="219">
        <v>883.17</v>
      </c>
      <c r="G99" s="7"/>
      <c r="H99" s="392" t="s">
        <v>134</v>
      </c>
      <c r="I99" s="401"/>
      <c r="J99" s="401"/>
    </row>
    <row r="100" spans="6:10" ht="12.75">
      <c r="F100" s="3"/>
      <c r="G100" s="3"/>
      <c r="H100" s="184"/>
      <c r="I100" s="7"/>
      <c r="J100" s="7"/>
    </row>
    <row r="101" spans="1:10" ht="18.75" customHeight="1">
      <c r="A101" s="284" t="s">
        <v>29</v>
      </c>
      <c r="B101" s="397"/>
      <c r="C101" s="285"/>
      <c r="E101" s="183"/>
      <c r="F101" s="7"/>
      <c r="G101" s="7"/>
      <c r="H101" s="7"/>
      <c r="I101" s="7"/>
      <c r="J101" s="7"/>
    </row>
    <row r="102" spans="1:13" s="183" customFormat="1" ht="21.75" customHeight="1">
      <c r="A102" s="10" t="s">
        <v>1</v>
      </c>
      <c r="B102" s="10" t="s">
        <v>25</v>
      </c>
      <c r="C102" s="10" t="s">
        <v>7</v>
      </c>
      <c r="D102" s="10" t="s">
        <v>2</v>
      </c>
      <c r="E102" s="10"/>
      <c r="F102" s="11" t="s">
        <v>3</v>
      </c>
      <c r="G102" s="5"/>
      <c r="H102" s="5"/>
      <c r="I102" s="5"/>
      <c r="J102" s="5"/>
      <c r="L102" s="398"/>
      <c r="M102" s="398"/>
    </row>
    <row r="103" spans="1:10" ht="12.75">
      <c r="A103" s="30">
        <v>10</v>
      </c>
      <c r="B103" s="203"/>
      <c r="C103" s="203"/>
      <c r="D103" s="29" t="s">
        <v>14</v>
      </c>
      <c r="E103" s="203"/>
      <c r="F103" s="13" t="s">
        <v>3</v>
      </c>
      <c r="G103" s="7"/>
      <c r="H103" s="7"/>
      <c r="I103" s="7"/>
      <c r="J103" s="7"/>
    </row>
    <row r="104" spans="1:13" ht="35.25" customHeight="1">
      <c r="A104" s="203">
        <f>A103+0.01</f>
        <v>10.01</v>
      </c>
      <c r="B104" s="203" t="s">
        <v>26</v>
      </c>
      <c r="C104" s="203">
        <v>9540</v>
      </c>
      <c r="D104" s="233" t="s">
        <v>167</v>
      </c>
      <c r="E104" s="203" t="s">
        <v>11</v>
      </c>
      <c r="F104" s="231">
        <v>1</v>
      </c>
      <c r="G104" s="7"/>
      <c r="H104" s="383" t="s">
        <v>148</v>
      </c>
      <c r="I104" s="383"/>
      <c r="J104" s="383"/>
      <c r="L104" s="8"/>
      <c r="M104" s="8"/>
    </row>
    <row r="105" spans="1:13" ht="38.25" customHeight="1">
      <c r="A105" s="203">
        <f>A104+0.03</f>
        <v>10.04</v>
      </c>
      <c r="B105" s="203" t="s">
        <v>26</v>
      </c>
      <c r="C105" s="203">
        <v>83463</v>
      </c>
      <c r="D105" s="232" t="s">
        <v>189</v>
      </c>
      <c r="E105" s="203" t="s">
        <v>11</v>
      </c>
      <c r="F105" s="231">
        <v>1</v>
      </c>
      <c r="G105" s="7"/>
      <c r="H105" s="383" t="s">
        <v>128</v>
      </c>
      <c r="I105" s="383"/>
      <c r="J105" s="383"/>
      <c r="L105" s="8"/>
      <c r="M105" s="8"/>
    </row>
    <row r="106" spans="1:13" ht="38.25" customHeight="1">
      <c r="A106" s="203">
        <f>A105+0.02</f>
        <v>10.059999999999999</v>
      </c>
      <c r="B106" s="203" t="s">
        <v>26</v>
      </c>
      <c r="C106" s="203" t="s">
        <v>149</v>
      </c>
      <c r="D106" s="232" t="s">
        <v>150</v>
      </c>
      <c r="E106" s="203" t="s">
        <v>11</v>
      </c>
      <c r="F106" s="231">
        <v>4</v>
      </c>
      <c r="G106" s="7"/>
      <c r="H106" s="384" t="s">
        <v>185</v>
      </c>
      <c r="I106" s="385"/>
      <c r="J106" s="386"/>
      <c r="L106" s="8"/>
      <c r="M106" s="8"/>
    </row>
    <row r="107" spans="1:13" ht="12.75">
      <c r="A107" s="203">
        <f aca="true" t="shared" si="6" ref="A107:A116">A106+0.01</f>
        <v>10.069999999999999</v>
      </c>
      <c r="B107" s="203" t="s">
        <v>26</v>
      </c>
      <c r="C107" s="203" t="s">
        <v>105</v>
      </c>
      <c r="D107" s="1" t="s">
        <v>106</v>
      </c>
      <c r="E107" s="203" t="s">
        <v>11</v>
      </c>
      <c r="F107" s="231">
        <v>4</v>
      </c>
      <c r="G107" s="7"/>
      <c r="H107" s="384" t="s">
        <v>186</v>
      </c>
      <c r="I107" s="385"/>
      <c r="J107" s="386"/>
      <c r="L107" s="8"/>
      <c r="M107" s="8"/>
    </row>
    <row r="108" spans="1:13" ht="25.5">
      <c r="A108" s="203">
        <f t="shared" si="6"/>
        <v>10.079999999999998</v>
      </c>
      <c r="B108" s="203" t="s">
        <v>26</v>
      </c>
      <c r="C108" s="203" t="s">
        <v>121</v>
      </c>
      <c r="D108" s="1" t="s">
        <v>122</v>
      </c>
      <c r="E108" s="203" t="s">
        <v>11</v>
      </c>
      <c r="F108" s="231">
        <v>2</v>
      </c>
      <c r="G108" s="7"/>
      <c r="H108" s="384" t="s">
        <v>153</v>
      </c>
      <c r="I108" s="385"/>
      <c r="J108" s="386"/>
      <c r="L108" s="8"/>
      <c r="M108" s="8"/>
    </row>
    <row r="109" spans="1:13" ht="29.25" customHeight="1">
      <c r="A109" s="203">
        <f t="shared" si="6"/>
        <v>10.089999999999998</v>
      </c>
      <c r="B109" s="203" t="s">
        <v>26</v>
      </c>
      <c r="C109" s="203">
        <v>83447</v>
      </c>
      <c r="D109" s="1" t="s">
        <v>104</v>
      </c>
      <c r="E109" s="203" t="s">
        <v>11</v>
      </c>
      <c r="F109" s="231">
        <v>3</v>
      </c>
      <c r="G109" s="7"/>
      <c r="H109" s="384" t="s">
        <v>184</v>
      </c>
      <c r="I109" s="385"/>
      <c r="J109" s="386"/>
      <c r="L109" s="8"/>
      <c r="M109" s="8"/>
    </row>
    <row r="110" spans="1:13" ht="12.75">
      <c r="A110" s="203">
        <f t="shared" si="6"/>
        <v>10.099999999999998</v>
      </c>
      <c r="B110" s="203" t="s">
        <v>26</v>
      </c>
      <c r="C110" s="203">
        <v>72250</v>
      </c>
      <c r="D110" s="232" t="s">
        <v>190</v>
      </c>
      <c r="E110" s="203" t="s">
        <v>0</v>
      </c>
      <c r="F110" s="235">
        <v>10</v>
      </c>
      <c r="G110" s="7"/>
      <c r="H110" s="384" t="s">
        <v>134</v>
      </c>
      <c r="I110" s="385"/>
      <c r="J110" s="386"/>
      <c r="L110" s="8"/>
      <c r="M110" s="8"/>
    </row>
    <row r="111" spans="1:13" ht="25.5">
      <c r="A111" s="203">
        <f t="shared" si="6"/>
        <v>10.109999999999998</v>
      </c>
      <c r="B111" s="203" t="s">
        <v>26</v>
      </c>
      <c r="C111" s="203">
        <v>91856</v>
      </c>
      <c r="D111" s="232" t="s">
        <v>191</v>
      </c>
      <c r="E111" s="203" t="s">
        <v>0</v>
      </c>
      <c r="F111" s="235">
        <v>48</v>
      </c>
      <c r="G111" s="7"/>
      <c r="H111" s="384" t="s">
        <v>134</v>
      </c>
      <c r="I111" s="385"/>
      <c r="J111" s="386"/>
      <c r="L111" s="8"/>
      <c r="M111" s="8"/>
    </row>
    <row r="112" spans="1:13" ht="25.5">
      <c r="A112" s="203">
        <f t="shared" si="6"/>
        <v>10.119999999999997</v>
      </c>
      <c r="B112" s="203" t="s">
        <v>26</v>
      </c>
      <c r="C112" s="203">
        <v>91872</v>
      </c>
      <c r="D112" s="232" t="s">
        <v>192</v>
      </c>
      <c r="E112" s="203" t="s">
        <v>0</v>
      </c>
      <c r="F112" s="235">
        <v>15</v>
      </c>
      <c r="G112" s="7"/>
      <c r="H112" s="384" t="s">
        <v>134</v>
      </c>
      <c r="I112" s="385"/>
      <c r="J112" s="386"/>
      <c r="L112" s="8"/>
      <c r="M112" s="8"/>
    </row>
    <row r="113" spans="1:13" ht="12.75">
      <c r="A113" s="203">
        <f>A112+0.04</f>
        <v>10.159999999999997</v>
      </c>
      <c r="B113" s="203" t="s">
        <v>26</v>
      </c>
      <c r="C113" s="203">
        <v>83399</v>
      </c>
      <c r="D113" s="232" t="s">
        <v>160</v>
      </c>
      <c r="E113" s="203" t="s">
        <v>11</v>
      </c>
      <c r="F113" s="231">
        <v>2</v>
      </c>
      <c r="G113" s="3"/>
      <c r="H113" s="392" t="s">
        <v>183</v>
      </c>
      <c r="I113" s="392"/>
      <c r="J113" s="392"/>
      <c r="L113" s="8"/>
      <c r="M113" s="8"/>
    </row>
    <row r="114" spans="1:13" ht="25.5">
      <c r="A114" s="203">
        <f t="shared" si="6"/>
        <v>10.169999999999996</v>
      </c>
      <c r="B114" s="203" t="s">
        <v>26</v>
      </c>
      <c r="C114" s="203">
        <v>91929</v>
      </c>
      <c r="D114" s="232" t="s">
        <v>194</v>
      </c>
      <c r="E114" s="203" t="s">
        <v>0</v>
      </c>
      <c r="F114" s="235">
        <v>105</v>
      </c>
      <c r="G114" s="7"/>
      <c r="H114" s="384" t="s">
        <v>134</v>
      </c>
      <c r="I114" s="385"/>
      <c r="J114" s="386"/>
      <c r="L114" s="8"/>
      <c r="M114" s="8"/>
    </row>
    <row r="115" spans="1:13" ht="25.5">
      <c r="A115" s="203">
        <f t="shared" si="6"/>
        <v>10.179999999999996</v>
      </c>
      <c r="B115" s="203" t="s">
        <v>26</v>
      </c>
      <c r="C115" s="203">
        <v>91929</v>
      </c>
      <c r="D115" s="232" t="s">
        <v>195</v>
      </c>
      <c r="E115" s="203" t="s">
        <v>0</v>
      </c>
      <c r="F115" s="235">
        <v>105</v>
      </c>
      <c r="G115" s="7"/>
      <c r="H115" s="384" t="s">
        <v>134</v>
      </c>
      <c r="I115" s="385"/>
      <c r="J115" s="386"/>
      <c r="L115" s="8"/>
      <c r="M115" s="8"/>
    </row>
    <row r="116" spans="1:12" ht="25.5">
      <c r="A116" s="203">
        <f t="shared" si="6"/>
        <v>10.189999999999996</v>
      </c>
      <c r="B116" s="203" t="s">
        <v>26</v>
      </c>
      <c r="C116" s="203">
        <v>91929</v>
      </c>
      <c r="D116" s="232" t="s">
        <v>196</v>
      </c>
      <c r="E116" s="203" t="s">
        <v>0</v>
      </c>
      <c r="F116" s="235">
        <v>60</v>
      </c>
      <c r="G116" s="3"/>
      <c r="H116" s="384" t="s">
        <v>134</v>
      </c>
      <c r="I116" s="385"/>
      <c r="J116" s="386"/>
      <c r="L116" s="8"/>
    </row>
    <row r="117" spans="1:13" ht="12.75">
      <c r="A117" s="203">
        <f>A116+0.02</f>
        <v>10.209999999999996</v>
      </c>
      <c r="B117" s="203" t="s">
        <v>26</v>
      </c>
      <c r="C117" s="203">
        <v>72281</v>
      </c>
      <c r="D117" s="232" t="s">
        <v>164</v>
      </c>
      <c r="E117" s="203" t="s">
        <v>11</v>
      </c>
      <c r="F117" s="231">
        <v>4</v>
      </c>
      <c r="G117" s="3"/>
      <c r="H117" s="392" t="s">
        <v>182</v>
      </c>
      <c r="I117" s="392"/>
      <c r="J117" s="392"/>
      <c r="L117" s="8"/>
      <c r="M117" s="8"/>
    </row>
    <row r="118" spans="1:10" ht="13.5" customHeight="1">
      <c r="A118" s="211"/>
      <c r="B118" s="211"/>
      <c r="C118" s="211"/>
      <c r="E118" s="230"/>
      <c r="F118" s="7"/>
      <c r="G118" s="7"/>
      <c r="H118" s="7"/>
      <c r="I118" s="7"/>
      <c r="J118" s="7"/>
    </row>
    <row r="119" spans="1:10" ht="12.75">
      <c r="A119" s="30">
        <v>11</v>
      </c>
      <c r="B119" s="203"/>
      <c r="C119" s="203"/>
      <c r="D119" s="29" t="s">
        <v>15</v>
      </c>
      <c r="E119" s="203"/>
      <c r="F119" s="13" t="s">
        <v>3</v>
      </c>
      <c r="G119" s="7"/>
      <c r="H119" s="387"/>
      <c r="I119" s="5"/>
      <c r="J119" s="387"/>
    </row>
    <row r="120" spans="1:10" ht="12.75">
      <c r="A120" s="203"/>
      <c r="B120" s="203"/>
      <c r="C120" s="203"/>
      <c r="D120" s="1"/>
      <c r="E120" s="203"/>
      <c r="F120" s="202"/>
      <c r="G120" s="7"/>
      <c r="H120" s="388"/>
      <c r="I120" s="5"/>
      <c r="J120" s="388"/>
    </row>
    <row r="121" spans="1:10" ht="21.75" customHeight="1">
      <c r="A121" s="203">
        <f>A119+0.01</f>
        <v>11.01</v>
      </c>
      <c r="B121" s="203" t="s">
        <v>26</v>
      </c>
      <c r="C121" s="203">
        <v>79472</v>
      </c>
      <c r="D121" s="1" t="s">
        <v>31</v>
      </c>
      <c r="E121" s="203" t="s">
        <v>10</v>
      </c>
      <c r="F121" s="202">
        <v>2147.2</v>
      </c>
      <c r="G121" s="7"/>
      <c r="H121" s="389" t="s">
        <v>129</v>
      </c>
      <c r="I121" s="390"/>
      <c r="J121" s="391"/>
    </row>
    <row r="122" spans="1:10" ht="25.5">
      <c r="A122" s="203">
        <f aca="true" t="shared" si="7" ref="A122:A127">A121+0.01</f>
        <v>11.02</v>
      </c>
      <c r="B122" s="203" t="s">
        <v>26</v>
      </c>
      <c r="C122" s="203">
        <v>92396</v>
      </c>
      <c r="D122" s="47" t="s">
        <v>140</v>
      </c>
      <c r="E122" s="203" t="s">
        <v>10</v>
      </c>
      <c r="F122" s="202">
        <v>375.3</v>
      </c>
      <c r="G122" s="7"/>
      <c r="H122" s="384" t="s">
        <v>181</v>
      </c>
      <c r="I122" s="385"/>
      <c r="J122" s="386"/>
    </row>
    <row r="123" spans="1:10" ht="21.75" customHeight="1">
      <c r="A123" s="203">
        <f t="shared" si="7"/>
        <v>11.03</v>
      </c>
      <c r="B123" s="203" t="s">
        <v>26</v>
      </c>
      <c r="C123" s="203" t="s">
        <v>111</v>
      </c>
      <c r="D123" s="47" t="s">
        <v>112</v>
      </c>
      <c r="E123" s="203" t="s">
        <v>0</v>
      </c>
      <c r="F123" s="202">
        <v>198.2</v>
      </c>
      <c r="G123" s="7"/>
      <c r="H123" s="384" t="s">
        <v>135</v>
      </c>
      <c r="I123" s="385"/>
      <c r="J123" s="386"/>
    </row>
    <row r="124" spans="1:10" ht="29.25" customHeight="1">
      <c r="A124" s="203">
        <f t="shared" si="7"/>
        <v>11.04</v>
      </c>
      <c r="B124" s="203" t="s">
        <v>26</v>
      </c>
      <c r="C124" s="203">
        <v>72132</v>
      </c>
      <c r="D124" s="1" t="s">
        <v>116</v>
      </c>
      <c r="E124" s="203" t="s">
        <v>10</v>
      </c>
      <c r="F124" s="202">
        <v>2.88</v>
      </c>
      <c r="G124" s="7"/>
      <c r="H124" s="384" t="s">
        <v>137</v>
      </c>
      <c r="I124" s="385"/>
      <c r="J124" s="386"/>
    </row>
    <row r="125" spans="1:10" ht="30.75" customHeight="1">
      <c r="A125" s="203">
        <f t="shared" si="7"/>
        <v>11.049999999999999</v>
      </c>
      <c r="B125" s="203" t="s">
        <v>26</v>
      </c>
      <c r="C125" s="203" t="s">
        <v>114</v>
      </c>
      <c r="D125" s="1" t="s">
        <v>115</v>
      </c>
      <c r="E125" s="203" t="s">
        <v>113</v>
      </c>
      <c r="F125" s="219">
        <v>1.28</v>
      </c>
      <c r="G125" s="3"/>
      <c r="H125" s="393" t="s">
        <v>136</v>
      </c>
      <c r="I125" s="394"/>
      <c r="J125" s="395"/>
    </row>
    <row r="126" spans="1:10" ht="26.25" customHeight="1">
      <c r="A126" s="203">
        <f t="shared" si="7"/>
        <v>11.059999999999999</v>
      </c>
      <c r="B126" s="203" t="s">
        <v>26</v>
      </c>
      <c r="C126" s="203">
        <v>75481</v>
      </c>
      <c r="D126" s="1" t="s">
        <v>141</v>
      </c>
      <c r="E126" s="203" t="s">
        <v>10</v>
      </c>
      <c r="F126" s="219">
        <f>1.71*4</f>
        <v>6.84</v>
      </c>
      <c r="G126" s="7"/>
      <c r="H126" s="384" t="s">
        <v>144</v>
      </c>
      <c r="I126" s="385"/>
      <c r="J126" s="386"/>
    </row>
    <row r="127" spans="1:10" ht="56.25" customHeight="1">
      <c r="A127" s="203">
        <f t="shared" si="7"/>
        <v>11.069999999999999</v>
      </c>
      <c r="B127" s="203" t="s">
        <v>26</v>
      </c>
      <c r="C127" s="203" t="s">
        <v>142</v>
      </c>
      <c r="D127" s="1" t="s">
        <v>143</v>
      </c>
      <c r="E127" s="203" t="s">
        <v>10</v>
      </c>
      <c r="F127" s="219">
        <f>5.79*4</f>
        <v>23.16</v>
      </c>
      <c r="G127" s="7"/>
      <c r="H127" s="392" t="s">
        <v>145</v>
      </c>
      <c r="I127" s="392"/>
      <c r="J127" s="392"/>
    </row>
    <row r="128" spans="1:10" ht="12.75">
      <c r="A128" s="183"/>
      <c r="C128" s="183"/>
      <c r="E128" s="183"/>
      <c r="F128" s="7"/>
      <c r="G128" s="7"/>
      <c r="H128" s="7"/>
      <c r="I128" s="7"/>
      <c r="J128" s="7"/>
    </row>
    <row r="129" spans="1:10" ht="12.75">
      <c r="A129" s="30">
        <v>12</v>
      </c>
      <c r="B129" s="203"/>
      <c r="C129" s="203"/>
      <c r="D129" s="29" t="s">
        <v>24</v>
      </c>
      <c r="E129" s="203"/>
      <c r="F129" s="13" t="s">
        <v>3</v>
      </c>
      <c r="G129" s="7"/>
      <c r="H129" s="387"/>
      <c r="I129" s="5"/>
      <c r="J129" s="387"/>
    </row>
    <row r="130" spans="1:10" ht="10.5" customHeight="1">
      <c r="A130" s="203"/>
      <c r="B130" s="203"/>
      <c r="C130" s="203"/>
      <c r="D130" s="1"/>
      <c r="E130" s="203"/>
      <c r="F130" s="202"/>
      <c r="G130" s="7"/>
      <c r="H130" s="388"/>
      <c r="I130" s="5"/>
      <c r="J130" s="388"/>
    </row>
    <row r="131" spans="1:10" ht="15.75">
      <c r="A131" s="203">
        <f>A129+0.01</f>
        <v>12.01</v>
      </c>
      <c r="B131" s="203" t="s">
        <v>198</v>
      </c>
      <c r="C131" s="203">
        <v>270210</v>
      </c>
      <c r="D131" s="1" t="s">
        <v>120</v>
      </c>
      <c r="E131" s="203" t="s">
        <v>10</v>
      </c>
      <c r="F131" s="202">
        <v>1712.5</v>
      </c>
      <c r="G131" s="7"/>
      <c r="H131" s="393" t="s">
        <v>134</v>
      </c>
      <c r="I131" s="399"/>
      <c r="J131" s="400"/>
    </row>
    <row r="132" spans="6:10" ht="17.25" customHeight="1">
      <c r="F132" s="3"/>
      <c r="G132" s="3"/>
      <c r="H132" s="184"/>
      <c r="I132" s="7"/>
      <c r="J132" s="7"/>
    </row>
    <row r="133" spans="1:10" ht="15" customHeight="1">
      <c r="A133" s="30">
        <v>13</v>
      </c>
      <c r="B133" s="203"/>
      <c r="C133" s="203"/>
      <c r="D133" s="29" t="s">
        <v>100</v>
      </c>
      <c r="E133" s="203"/>
      <c r="F133" s="13" t="s">
        <v>3</v>
      </c>
      <c r="G133" s="7"/>
      <c r="H133" s="387"/>
      <c r="I133" s="5"/>
      <c r="J133" s="387"/>
    </row>
    <row r="134" spans="1:10" ht="15" customHeight="1">
      <c r="A134" s="203"/>
      <c r="B134" s="203"/>
      <c r="C134" s="203"/>
      <c r="D134" s="1"/>
      <c r="E134" s="203"/>
      <c r="F134" s="202"/>
      <c r="G134" s="7"/>
      <c r="H134" s="387"/>
      <c r="I134" s="5"/>
      <c r="J134" s="387"/>
    </row>
    <row r="135" spans="1:10" ht="12.75">
      <c r="A135" s="203">
        <f>A133+0.01</f>
        <v>13.01</v>
      </c>
      <c r="B135" s="203" t="s">
        <v>198</v>
      </c>
      <c r="C135" s="203">
        <v>250103</v>
      </c>
      <c r="D135" s="1" t="s">
        <v>101</v>
      </c>
      <c r="E135" s="203" t="s">
        <v>103</v>
      </c>
      <c r="F135" s="202">
        <v>360</v>
      </c>
      <c r="G135" s="7"/>
      <c r="H135" s="392" t="s">
        <v>187</v>
      </c>
      <c r="I135" s="392"/>
      <c r="J135" s="392"/>
    </row>
    <row r="136" spans="1:10" ht="15" customHeight="1">
      <c r="A136" s="203">
        <f>A135+0.01</f>
        <v>13.02</v>
      </c>
      <c r="B136" s="203" t="s">
        <v>26</v>
      </c>
      <c r="C136" s="203">
        <v>90777</v>
      </c>
      <c r="D136" s="1" t="s">
        <v>102</v>
      </c>
      <c r="E136" s="203" t="s">
        <v>103</v>
      </c>
      <c r="F136" s="202">
        <v>60</v>
      </c>
      <c r="G136" s="7"/>
      <c r="H136" s="392" t="s">
        <v>138</v>
      </c>
      <c r="I136" s="392"/>
      <c r="J136" s="392"/>
    </row>
    <row r="137" spans="8:10" ht="12.75">
      <c r="H137" s="182"/>
      <c r="I137" s="182"/>
      <c r="J137" s="182"/>
    </row>
    <row r="138" spans="8:10" ht="6.75" customHeight="1">
      <c r="H138" s="182"/>
      <c r="I138" s="182"/>
      <c r="J138" s="182"/>
    </row>
    <row r="139" spans="2:10" ht="0.75" customHeight="1">
      <c r="B139" s="3"/>
      <c r="H139" s="182"/>
      <c r="I139" s="182"/>
      <c r="J139" s="182"/>
    </row>
    <row r="140" spans="2:6" ht="12.75" hidden="1">
      <c r="B140" s="3"/>
      <c r="F140" s="180"/>
    </row>
    <row r="142" spans="2:8" ht="34.5" customHeight="1">
      <c r="B142" s="3"/>
      <c r="E142" s="280" t="str">
        <f>'ORÇAMENTO GERAL'!E193:F193</f>
        <v>Piracanjuba, 22/06/2017</v>
      </c>
      <c r="F142" s="280"/>
      <c r="G142" s="280"/>
      <c r="H142" s="280"/>
    </row>
    <row r="143" ht="16.5" customHeight="1">
      <c r="B143" s="3"/>
    </row>
    <row r="145" spans="2:8" ht="15.75">
      <c r="B145" s="3"/>
      <c r="D145" s="210" t="s">
        <v>117</v>
      </c>
      <c r="H145" s="9">
        <f>F139-F145</f>
        <v>0</v>
      </c>
    </row>
    <row r="146" spans="2:4" ht="15.75">
      <c r="B146" s="3"/>
      <c r="D146" s="210" t="s">
        <v>125</v>
      </c>
    </row>
    <row r="147" spans="2:4" ht="15.75">
      <c r="B147" s="3"/>
      <c r="D147" s="210" t="s">
        <v>119</v>
      </c>
    </row>
  </sheetData>
  <sheetProtection/>
  <mergeCells count="113">
    <mergeCell ref="H23:J23"/>
    <mergeCell ref="H48:J48"/>
    <mergeCell ref="H37:J37"/>
    <mergeCell ref="H81:J81"/>
    <mergeCell ref="H74:J74"/>
    <mergeCell ref="H73:J73"/>
    <mergeCell ref="H35:J35"/>
    <mergeCell ref="H79:J79"/>
    <mergeCell ref="H77:J77"/>
    <mergeCell ref="H76:J76"/>
    <mergeCell ref="H12:J12"/>
    <mergeCell ref="H43:J43"/>
    <mergeCell ref="H44:J44"/>
    <mergeCell ref="H45:J45"/>
    <mergeCell ref="H46:J46"/>
    <mergeCell ref="H49:J49"/>
    <mergeCell ref="H22:J22"/>
    <mergeCell ref="H25:J25"/>
    <mergeCell ref="H26:J26"/>
    <mergeCell ref="H27:J27"/>
    <mergeCell ref="H64:J64"/>
    <mergeCell ref="H36:J36"/>
    <mergeCell ref="H89:J89"/>
    <mergeCell ref="H90:J90"/>
    <mergeCell ref="H59:J59"/>
    <mergeCell ref="H60:J60"/>
    <mergeCell ref="H135:J135"/>
    <mergeCell ref="J97:J98"/>
    <mergeCell ref="H97:H98"/>
    <mergeCell ref="H110:J110"/>
    <mergeCell ref="H107:J107"/>
    <mergeCell ref="H33:J33"/>
    <mergeCell ref="H34:J34"/>
    <mergeCell ref="H127:J127"/>
    <mergeCell ref="H80:J80"/>
    <mergeCell ref="H108:J108"/>
    <mergeCell ref="A101:C101"/>
    <mergeCell ref="A69:B69"/>
    <mergeCell ref="H92:J92"/>
    <mergeCell ref="H91:J91"/>
    <mergeCell ref="H99:J99"/>
    <mergeCell ref="H72:J72"/>
    <mergeCell ref="H78:J78"/>
    <mergeCell ref="L40:M40"/>
    <mergeCell ref="H42:J42"/>
    <mergeCell ref="H53:J53"/>
    <mergeCell ref="H54:J54"/>
    <mergeCell ref="H55:J55"/>
    <mergeCell ref="H109:J109"/>
    <mergeCell ref="J87:J88"/>
    <mergeCell ref="H95:J95"/>
    <mergeCell ref="H83:J83"/>
    <mergeCell ref="H75:J75"/>
    <mergeCell ref="H136:J136"/>
    <mergeCell ref="H131:J131"/>
    <mergeCell ref="H123:J123"/>
    <mergeCell ref="H124:J124"/>
    <mergeCell ref="H129:H130"/>
    <mergeCell ref="H114:J114"/>
    <mergeCell ref="J133:J134"/>
    <mergeCell ref="H126:J126"/>
    <mergeCell ref="H119:H120"/>
    <mergeCell ref="J119:J120"/>
    <mergeCell ref="A2:D2"/>
    <mergeCell ref="A4:D4"/>
    <mergeCell ref="E4:J4"/>
    <mergeCell ref="A5:D5"/>
    <mergeCell ref="E5:J7"/>
    <mergeCell ref="H67:J67"/>
    <mergeCell ref="H47:J47"/>
    <mergeCell ref="H52:J52"/>
    <mergeCell ref="H51:J51"/>
    <mergeCell ref="H24:J24"/>
    <mergeCell ref="H20:J20"/>
    <mergeCell ref="H21:J21"/>
    <mergeCell ref="A39:C39"/>
    <mergeCell ref="A9:B9"/>
    <mergeCell ref="L102:M102"/>
    <mergeCell ref="L70:M70"/>
    <mergeCell ref="H84:J84"/>
    <mergeCell ref="H85:J85"/>
    <mergeCell ref="H82:J82"/>
    <mergeCell ref="L10:M10"/>
    <mergeCell ref="A6:D6"/>
    <mergeCell ref="H15:J15"/>
    <mergeCell ref="H28:J28"/>
    <mergeCell ref="H61:J61"/>
    <mergeCell ref="H50:J50"/>
    <mergeCell ref="H16:J16"/>
    <mergeCell ref="H17:J17"/>
    <mergeCell ref="H18:J18"/>
    <mergeCell ref="H32:J32"/>
    <mergeCell ref="H19:J19"/>
    <mergeCell ref="E142:H142"/>
    <mergeCell ref="H62:J62"/>
    <mergeCell ref="H63:J63"/>
    <mergeCell ref="H93:J93"/>
    <mergeCell ref="H94:J94"/>
    <mergeCell ref="H125:J125"/>
    <mergeCell ref="H115:J115"/>
    <mergeCell ref="H117:J117"/>
    <mergeCell ref="H105:J105"/>
    <mergeCell ref="H87:H88"/>
    <mergeCell ref="H104:J104"/>
    <mergeCell ref="H106:J106"/>
    <mergeCell ref="H112:J112"/>
    <mergeCell ref="H116:J116"/>
    <mergeCell ref="H133:H134"/>
    <mergeCell ref="J129:J130"/>
    <mergeCell ref="H121:J121"/>
    <mergeCell ref="H122:J122"/>
    <mergeCell ref="H111:J111"/>
    <mergeCell ref="H113:J1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rowBreaks count="4" manualBreakCount="4">
    <brk id="29" max="255" man="1"/>
    <brk id="56" max="255" man="1"/>
    <brk id="84" max="255" man="1"/>
    <brk id="11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SheetLayoutView="100" zoomScalePageLayoutView="0" workbookViewId="0" topLeftCell="A108">
      <selection activeCell="C33" sqref="C33"/>
    </sheetView>
  </sheetViews>
  <sheetFormatPr defaultColWidth="9.140625" defaultRowHeight="15"/>
  <cols>
    <col min="1" max="1" width="13.7109375" style="14" customWidth="1"/>
    <col min="2" max="2" width="29.421875" style="14" customWidth="1"/>
    <col min="3" max="3" width="12.8515625" style="14" customWidth="1"/>
    <col min="4" max="4" width="12.8515625" style="256" customWidth="1"/>
    <col min="5" max="8" width="12.8515625" style="14" customWidth="1"/>
    <col min="9" max="16384" width="9.140625" style="14" customWidth="1"/>
  </cols>
  <sheetData>
    <row r="1" spans="3:8" ht="15" customHeight="1">
      <c r="C1" s="304"/>
      <c r="D1" s="304"/>
      <c r="E1" s="304"/>
      <c r="F1" s="304"/>
      <c r="G1" s="304"/>
      <c r="H1" s="304"/>
    </row>
    <row r="2" spans="3:8" ht="15" customHeight="1">
      <c r="C2" s="304"/>
      <c r="D2" s="304"/>
      <c r="E2" s="304"/>
      <c r="F2" s="304"/>
      <c r="G2" s="304"/>
      <c r="H2" s="304"/>
    </row>
    <row r="3" spans="3:8" ht="15" customHeight="1">
      <c r="C3" s="304"/>
      <c r="D3" s="304"/>
      <c r="E3" s="304"/>
      <c r="F3" s="304"/>
      <c r="G3" s="304"/>
      <c r="H3" s="304"/>
    </row>
    <row r="4" spans="1:8" ht="15" customHeight="1">
      <c r="A4" s="300"/>
      <c r="B4" s="301"/>
      <c r="C4" s="304"/>
      <c r="D4" s="304"/>
      <c r="E4" s="304"/>
      <c r="F4" s="304"/>
      <c r="G4" s="304"/>
      <c r="H4" s="304"/>
    </row>
    <row r="5" spans="1:8" ht="15" customHeight="1">
      <c r="A5" s="301"/>
      <c r="B5" s="301"/>
      <c r="C5" s="305"/>
      <c r="D5" s="305"/>
      <c r="E5" s="305"/>
      <c r="F5" s="305"/>
      <c r="G5" s="305"/>
      <c r="H5" s="305"/>
    </row>
    <row r="6" spans="1:8" ht="15" customHeight="1">
      <c r="A6" s="301"/>
      <c r="B6" s="301"/>
      <c r="C6" s="305"/>
      <c r="D6" s="305"/>
      <c r="E6" s="305"/>
      <c r="F6" s="305"/>
      <c r="G6" s="305"/>
      <c r="H6" s="305"/>
    </row>
    <row r="7" spans="3:8" ht="9" customHeight="1">
      <c r="C7" s="305"/>
      <c r="D7" s="305"/>
      <c r="E7" s="305"/>
      <c r="F7" s="305"/>
      <c r="G7" s="305"/>
      <c r="H7" s="305"/>
    </row>
    <row r="8" spans="1:10" ht="15">
      <c r="A8" s="306" t="str">
        <f>'ORÇAMENTO GERAL'!A2:D2</f>
        <v>OBRA: EMPREITADA SOB O REGIME GLOBAL DAS OBRAS DE CONSTRUÇÃO DE 7 PRAÇAS PÚBLICAS</v>
      </c>
      <c r="B8" s="306"/>
      <c r="C8" s="306"/>
      <c r="D8" s="306"/>
      <c r="E8" s="306"/>
      <c r="F8" s="306"/>
      <c r="G8" s="306"/>
      <c r="H8" s="306"/>
      <c r="I8" s="15"/>
      <c r="J8" s="15"/>
    </row>
    <row r="9" spans="1:10" ht="15">
      <c r="A9" s="306" t="str">
        <f>'ORÇAMENTO GERAL'!A3:D3</f>
        <v>PROPRIETÁRIO: MUNICÍPIO DE PIRACANJUBA</v>
      </c>
      <c r="B9" s="306"/>
      <c r="C9" s="306"/>
      <c r="D9" s="251"/>
      <c r="E9" s="250"/>
      <c r="F9" s="250"/>
      <c r="G9" s="250"/>
      <c r="H9" s="250"/>
      <c r="I9" s="15"/>
      <c r="J9" s="15"/>
    </row>
    <row r="10" spans="1:10" ht="15">
      <c r="A10" s="250" t="str">
        <f>'ORÇAMENTO GERAL'!A7</f>
        <v>CONT.REPASSE</v>
      </c>
      <c r="B10" s="191" t="s">
        <v>108</v>
      </c>
      <c r="C10" s="250"/>
      <c r="D10" s="251"/>
      <c r="E10" s="250"/>
      <c r="F10" s="250"/>
      <c r="G10" s="250"/>
      <c r="H10" s="250"/>
      <c r="I10" s="15"/>
      <c r="J10" s="15"/>
    </row>
    <row r="11" spans="1:8" ht="15">
      <c r="A11" s="306" t="str">
        <f>'ORÇAMENTO GERAL'!A8:D8</f>
        <v>Prazo de Execução: 60 dias </v>
      </c>
      <c r="B11" s="306"/>
      <c r="C11" s="306"/>
      <c r="D11" s="306"/>
      <c r="E11" s="306"/>
      <c r="F11" s="306"/>
      <c r="G11" s="306"/>
      <c r="H11" s="306"/>
    </row>
    <row r="12" spans="1:8" ht="0.75" customHeight="1">
      <c r="A12" s="250"/>
      <c r="B12" s="250"/>
      <c r="C12" s="250"/>
      <c r="D12" s="251"/>
      <c r="E12" s="250"/>
      <c r="F12" s="250"/>
      <c r="G12" s="250"/>
      <c r="H12" s="250"/>
    </row>
    <row r="13" spans="1:9" ht="15" customHeight="1">
      <c r="A13" s="302" t="s">
        <v>210</v>
      </c>
      <c r="B13" s="303"/>
      <c r="C13" s="303"/>
      <c r="D13" s="303"/>
      <c r="E13" s="303"/>
      <c r="F13" s="303"/>
      <c r="G13" s="303"/>
      <c r="H13" s="303"/>
      <c r="I13" s="303"/>
    </row>
    <row r="14" spans="1:8" ht="3.75" customHeight="1">
      <c r="A14" s="15"/>
      <c r="B14" s="15"/>
      <c r="C14" s="15"/>
      <c r="D14" s="252"/>
      <c r="E14" s="15"/>
      <c r="F14" s="15"/>
      <c r="G14" s="15"/>
      <c r="H14" s="15"/>
    </row>
    <row r="15" spans="1:8" ht="59.25" customHeight="1">
      <c r="A15" s="266"/>
      <c r="B15" s="266"/>
      <c r="C15" s="266"/>
      <c r="D15" s="265" t="s">
        <v>213</v>
      </c>
      <c r="E15" s="403" t="s">
        <v>212</v>
      </c>
      <c r="F15" s="404"/>
      <c r="G15" s="404"/>
      <c r="H15" s="405"/>
    </row>
    <row r="16" spans="1:8" ht="45">
      <c r="A16" s="257" t="s">
        <v>1</v>
      </c>
      <c r="B16" s="267" t="s">
        <v>16</v>
      </c>
      <c r="C16" s="257" t="s">
        <v>17</v>
      </c>
      <c r="D16" s="264" t="s">
        <v>211</v>
      </c>
      <c r="E16" s="53" t="s">
        <v>22</v>
      </c>
      <c r="F16" s="53" t="s">
        <v>18</v>
      </c>
      <c r="G16" s="53" t="s">
        <v>23</v>
      </c>
      <c r="H16" s="53" t="s">
        <v>19</v>
      </c>
    </row>
    <row r="17" spans="1:8" ht="7.5" customHeight="1">
      <c r="A17" s="56"/>
      <c r="B17" s="57"/>
      <c r="C17" s="57"/>
      <c r="D17" s="253"/>
      <c r="E17" s="58"/>
      <c r="F17" s="58"/>
      <c r="G17" s="58"/>
      <c r="H17" s="58"/>
    </row>
    <row r="18" spans="1:8" ht="15">
      <c r="A18" s="290" t="str">
        <f>'ORÇAMENTO GERAL'!A10:B10</f>
        <v>PRAÇA JOÃO FRANCISCO DE ASSIS</v>
      </c>
      <c r="B18" s="290"/>
      <c r="C18" s="54"/>
      <c r="D18" s="254"/>
      <c r="E18" s="55"/>
      <c r="F18" s="55"/>
      <c r="G18" s="55"/>
      <c r="H18" s="55"/>
    </row>
    <row r="19" spans="1:8" s="17" customFormat="1" ht="15">
      <c r="A19" s="293">
        <v>1</v>
      </c>
      <c r="B19" s="293" t="str">
        <f>'ORÇAMENTO GERAL'!D12</f>
        <v>SERVIÇOS PRELIMINARES</v>
      </c>
      <c r="C19" s="31">
        <f>'ORÇAMENTO GERAL'!J15</f>
        <v>1459.3000000000002</v>
      </c>
      <c r="D19" s="260"/>
      <c r="E19" s="16">
        <f>C19</f>
        <v>1459.3000000000002</v>
      </c>
      <c r="F19" s="16"/>
      <c r="G19" s="16"/>
      <c r="H19" s="16"/>
    </row>
    <row r="20" spans="1:8" ht="15">
      <c r="A20" s="294"/>
      <c r="B20" s="294"/>
      <c r="C20" s="32">
        <f>C19/C115</f>
        <v>0.004076919522520784</v>
      </c>
      <c r="D20" s="261"/>
      <c r="E20" s="33">
        <f>E19/C19</f>
        <v>1</v>
      </c>
      <c r="F20" s="34"/>
      <c r="G20" s="34"/>
      <c r="H20" s="34"/>
    </row>
    <row r="21" spans="1:8" s="17" customFormat="1" ht="15">
      <c r="A21" s="293">
        <v>2</v>
      </c>
      <c r="B21" s="293" t="str">
        <f>'ORÇAMENTO GERAL'!D17</f>
        <v>INSTALAÇÕES ELÉTRICAS</v>
      </c>
      <c r="C21" s="31">
        <f>'ORÇAMENTO GERAL'!J39</f>
        <v>7185.700000000003</v>
      </c>
      <c r="D21" s="260"/>
      <c r="E21" s="16">
        <f>C21</f>
        <v>7185.700000000003</v>
      </c>
      <c r="F21" s="16"/>
      <c r="G21" s="16"/>
      <c r="H21" s="16"/>
    </row>
    <row r="22" spans="1:8" ht="15">
      <c r="A22" s="294"/>
      <c r="B22" s="294"/>
      <c r="C22" s="32">
        <f>C21/C115</f>
        <v>0.02007505010140314</v>
      </c>
      <c r="D22" s="261"/>
      <c r="E22" s="33">
        <f>E21/C21</f>
        <v>1</v>
      </c>
      <c r="F22" s="34"/>
      <c r="G22" s="34"/>
      <c r="H22" s="34"/>
    </row>
    <row r="23" spans="1:8" s="17" customFormat="1" ht="15">
      <c r="A23" s="296">
        <v>3</v>
      </c>
      <c r="B23" s="308" t="str">
        <f>'ORÇAMENTO GERAL'!D41</f>
        <v>PISOS E ARTEFATOS DE CONCRETO</v>
      </c>
      <c r="C23" s="31">
        <f>'ORÇAMENTO GERAL'!J49</f>
        <v>24397.043999999998</v>
      </c>
      <c r="D23" s="260"/>
      <c r="E23" s="16">
        <f>C23</f>
        <v>24397.043999999998</v>
      </c>
      <c r="F23" s="16"/>
      <c r="G23" s="16"/>
      <c r="H23" s="16"/>
    </row>
    <row r="24" spans="1:8" ht="15">
      <c r="A24" s="296"/>
      <c r="B24" s="309"/>
      <c r="C24" s="32">
        <f>C23/C115</f>
        <v>0.06815924414129962</v>
      </c>
      <c r="D24" s="261"/>
      <c r="E24" s="33">
        <f>E23/C23</f>
        <v>1</v>
      </c>
      <c r="F24" s="34"/>
      <c r="G24" s="34"/>
      <c r="H24" s="34"/>
    </row>
    <row r="25" spans="1:8" s="22" customFormat="1" ht="7.5" customHeight="1">
      <c r="A25" s="20"/>
      <c r="B25" s="21"/>
      <c r="C25" s="23"/>
      <c r="D25" s="255"/>
      <c r="E25" s="25"/>
      <c r="F25" s="24"/>
      <c r="G25" s="24"/>
      <c r="H25" s="24"/>
    </row>
    <row r="26" spans="1:8" ht="18.75" customHeight="1">
      <c r="A26" s="291" t="str">
        <f>'ORÇAMENTO GERAL'!A52:C52</f>
        <v>PRAÇA SEBASTIÃO DE OLIVEIRA 2</v>
      </c>
      <c r="B26" s="292"/>
      <c r="C26" s="59"/>
      <c r="D26" s="59"/>
      <c r="E26" s="60"/>
      <c r="F26" s="59"/>
      <c r="G26" s="59"/>
      <c r="H26" s="59"/>
    </row>
    <row r="27" spans="1:8" ht="15">
      <c r="A27" s="293"/>
      <c r="B27" s="293" t="s">
        <v>156</v>
      </c>
      <c r="C27" s="31">
        <f>SUM(87.7+855)</f>
        <v>942.7</v>
      </c>
      <c r="D27" s="260">
        <f>C27</f>
        <v>942.7</v>
      </c>
      <c r="E27" s="16"/>
      <c r="F27" s="16"/>
      <c r="G27" s="16"/>
      <c r="H27" s="16"/>
    </row>
    <row r="28" spans="1:8" ht="15">
      <c r="A28" s="294"/>
      <c r="B28" s="294"/>
      <c r="C28" s="32">
        <f>C27/C115</f>
        <v>0.002633668220297638</v>
      </c>
      <c r="D28" s="262">
        <f>D27/C27</f>
        <v>1</v>
      </c>
      <c r="E28" s="18"/>
      <c r="F28" s="34"/>
      <c r="G28" s="34"/>
      <c r="H28" s="19"/>
    </row>
    <row r="29" spans="1:8" ht="15">
      <c r="A29" s="293">
        <v>4</v>
      </c>
      <c r="B29" s="293" t="str">
        <f>'ORÇAMENTO GERAL'!D53</f>
        <v>INSTALAÇÕES ELÉTRICAS</v>
      </c>
      <c r="C29" s="31">
        <f>'ORÇAMENTO GERAL'!J75</f>
        <v>9727.939999999999</v>
      </c>
      <c r="D29" s="260"/>
      <c r="E29" s="16">
        <f>C29</f>
        <v>9727.939999999999</v>
      </c>
      <c r="F29" s="16"/>
      <c r="G29" s="16"/>
      <c r="H29" s="16"/>
    </row>
    <row r="30" spans="1:8" ht="15">
      <c r="A30" s="294"/>
      <c r="B30" s="294"/>
      <c r="C30" s="32">
        <f>C29/C115</f>
        <v>0.027177433358398426</v>
      </c>
      <c r="D30" s="261"/>
      <c r="E30" s="18">
        <f>E29/C29</f>
        <v>1</v>
      </c>
      <c r="F30" s="34"/>
      <c r="G30" s="34"/>
      <c r="H30" s="19"/>
    </row>
    <row r="31" spans="1:8" ht="15">
      <c r="A31" s="296">
        <v>5</v>
      </c>
      <c r="B31" s="296" t="str">
        <f>'ORÇAMENTO GERAL'!D77</f>
        <v>PISOS E ARTEFATOS DE CONCRETO</v>
      </c>
      <c r="C31" s="31">
        <f>'ORÇAMENTO GERAL'!J84</f>
        <v>40135.262500000004</v>
      </c>
      <c r="D31" s="260"/>
      <c r="E31" s="16">
        <f>C31*0.5</f>
        <v>20067.631250000002</v>
      </c>
      <c r="F31" s="16">
        <f>C31*0.5</f>
        <v>20067.631250000002</v>
      </c>
      <c r="G31" s="16"/>
      <c r="H31" s="16"/>
    </row>
    <row r="32" spans="1:8" ht="15">
      <c r="A32" s="296"/>
      <c r="B32" s="296"/>
      <c r="C32" s="32">
        <f>C31/C115</f>
        <v>0.11212789366665273</v>
      </c>
      <c r="D32" s="261"/>
      <c r="E32" s="18">
        <f>E31/C31</f>
        <v>0.5</v>
      </c>
      <c r="F32" s="34">
        <f>F31/C31</f>
        <v>0.5</v>
      </c>
      <c r="G32" s="34"/>
      <c r="H32" s="34"/>
    </row>
    <row r="33" spans="1:8" ht="15">
      <c r="A33" s="296">
        <v>6</v>
      </c>
      <c r="B33" s="296" t="str">
        <f>'ORÇAMENTO GERAL'!D86</f>
        <v>VEGETAÇÃO</v>
      </c>
      <c r="C33" s="31">
        <f>'ORÇAMENTO GERAL'!J88</f>
        <v>38068.3975</v>
      </c>
      <c r="D33" s="260"/>
      <c r="E33" s="16"/>
      <c r="F33" s="16">
        <f>C33*0.5</f>
        <v>19034.19875</v>
      </c>
      <c r="G33" s="16">
        <f>C33*0.5</f>
        <v>19034.19875</v>
      </c>
      <c r="H33" s="16"/>
    </row>
    <row r="34" spans="1:8" s="22" customFormat="1" ht="15.75" customHeight="1">
      <c r="A34" s="296"/>
      <c r="B34" s="296"/>
      <c r="C34" s="32">
        <f>C33/C115</f>
        <v>0.10635358936396312</v>
      </c>
      <c r="D34" s="261"/>
      <c r="E34" s="18"/>
      <c r="F34" s="18">
        <f>F33/C33</f>
        <v>0.5</v>
      </c>
      <c r="G34" s="34">
        <f>G33/C33</f>
        <v>0.5</v>
      </c>
      <c r="H34" s="34"/>
    </row>
    <row r="35" spans="1:8" s="22" customFormat="1" ht="8.25" customHeight="1">
      <c r="A35" s="20"/>
      <c r="B35" s="21"/>
      <c r="C35" s="23"/>
      <c r="D35" s="255"/>
      <c r="E35" s="24"/>
      <c r="F35" s="24"/>
      <c r="G35" s="24"/>
      <c r="H35" s="24"/>
    </row>
    <row r="36" spans="1:8" s="22" customFormat="1" ht="17.25" customHeight="1">
      <c r="A36" s="290" t="str">
        <f>'ORÇAMENTO GERAL'!A91:B91</f>
        <v>PRAÇA IVO ABDON FERRARI - UIRAPURU</v>
      </c>
      <c r="B36" s="290"/>
      <c r="C36" s="59"/>
      <c r="D36" s="59"/>
      <c r="E36" s="60"/>
      <c r="F36" s="59"/>
      <c r="G36" s="59"/>
      <c r="H36" s="59"/>
    </row>
    <row r="37" spans="1:8" ht="15">
      <c r="A37" s="293"/>
      <c r="B37" s="293" t="s">
        <v>156</v>
      </c>
      <c r="C37" s="31">
        <f>SUM(87.7+855)</f>
        <v>942.7</v>
      </c>
      <c r="D37" s="260">
        <f>C37</f>
        <v>942.7</v>
      </c>
      <c r="E37" s="16"/>
      <c r="F37" s="16"/>
      <c r="G37" s="16"/>
      <c r="H37" s="16"/>
    </row>
    <row r="38" spans="1:8" ht="15">
      <c r="A38" s="294"/>
      <c r="B38" s="294"/>
      <c r="C38" s="32">
        <f>C37/C115</f>
        <v>0.002633668220297638</v>
      </c>
      <c r="D38" s="262">
        <f>D37/C37</f>
        <v>1</v>
      </c>
      <c r="E38" s="18"/>
      <c r="F38" s="34"/>
      <c r="G38" s="34"/>
      <c r="H38" s="19"/>
    </row>
    <row r="39" spans="1:8" s="22" customFormat="1" ht="17.25" customHeight="1">
      <c r="A39" s="296">
        <v>7</v>
      </c>
      <c r="B39" s="296" t="str">
        <f>'ORÇAMENTO GERAL'!D92</f>
        <v>INSTALAÇÕES ELÉTRICAS</v>
      </c>
      <c r="C39" s="31">
        <f>'ORÇAMENTO GERAL'!J114</f>
        <v>5259.710000000001</v>
      </c>
      <c r="D39" s="260"/>
      <c r="E39" s="16"/>
      <c r="F39" s="16">
        <f>C39*0.5</f>
        <v>2629.8550000000005</v>
      </c>
      <c r="G39" s="16">
        <f>C39*0.5</f>
        <v>2629.8550000000005</v>
      </c>
      <c r="H39" s="16"/>
    </row>
    <row r="40" spans="1:8" s="22" customFormat="1" ht="15">
      <c r="A40" s="296"/>
      <c r="B40" s="296"/>
      <c r="C40" s="32">
        <f>C39/C115</f>
        <v>0.014694315344204614</v>
      </c>
      <c r="D40" s="261"/>
      <c r="E40" s="18"/>
      <c r="F40" s="34">
        <f>F39/C39</f>
        <v>0.5</v>
      </c>
      <c r="G40" s="34">
        <f>G39/C39</f>
        <v>0.5</v>
      </c>
      <c r="H40" s="19"/>
    </row>
    <row r="41" spans="1:8" s="22" customFormat="1" ht="17.25" customHeight="1">
      <c r="A41" s="296">
        <v>8</v>
      </c>
      <c r="B41" s="296" t="str">
        <f>'ORÇAMENTO GERAL'!D116</f>
        <v>PISOS E ARTEFATOS DE CONCRETO</v>
      </c>
      <c r="C41" s="31">
        <f>'ORÇAMENTO GERAL'!J125</f>
        <v>35028.0752</v>
      </c>
      <c r="D41" s="260"/>
      <c r="E41" s="16"/>
      <c r="F41" s="16">
        <f>C41*0.5</f>
        <v>17514.0376</v>
      </c>
      <c r="G41" s="16">
        <f>C41*0.5</f>
        <v>17514.0376</v>
      </c>
      <c r="H41" s="16"/>
    </row>
    <row r="42" spans="1:8" s="22" customFormat="1" ht="15">
      <c r="A42" s="296"/>
      <c r="B42" s="296"/>
      <c r="C42" s="32">
        <f>C41/C115</f>
        <v>0.09785968863099163</v>
      </c>
      <c r="D42" s="261"/>
      <c r="E42" s="18"/>
      <c r="F42" s="34">
        <f>F41/C41</f>
        <v>0.5</v>
      </c>
      <c r="G42" s="34">
        <f>G41/C41</f>
        <v>0.5</v>
      </c>
      <c r="H42" s="34"/>
    </row>
    <row r="43" spans="1:8" s="22" customFormat="1" ht="17.25" customHeight="1">
      <c r="A43" s="296">
        <v>9</v>
      </c>
      <c r="B43" s="296" t="str">
        <f>'ORÇAMENTO GERAL'!D127</f>
        <v>VEGETAÇÃO</v>
      </c>
      <c r="C43" s="31">
        <f>'ORÇAMENTO GERAL'!J130</f>
        <v>9052.4925</v>
      </c>
      <c r="D43" s="260"/>
      <c r="E43" s="16"/>
      <c r="F43" s="16">
        <f>C43</f>
        <v>9052.4925</v>
      </c>
      <c r="G43" s="16"/>
      <c r="H43" s="16"/>
    </row>
    <row r="44" spans="1:8" s="22" customFormat="1" ht="15">
      <c r="A44" s="296"/>
      <c r="B44" s="296"/>
      <c r="C44" s="32">
        <f>C43/C115</f>
        <v>0.025290401836992375</v>
      </c>
      <c r="D44" s="261"/>
      <c r="E44" s="18"/>
      <c r="F44" s="19">
        <f>F43/C43</f>
        <v>1</v>
      </c>
      <c r="G44" s="34"/>
      <c r="H44" s="34"/>
    </row>
    <row r="45" spans="1:8" s="22" customFormat="1" ht="9" customHeight="1">
      <c r="A45" s="20"/>
      <c r="B45" s="21"/>
      <c r="C45" s="23"/>
      <c r="D45" s="255"/>
      <c r="E45" s="24"/>
      <c r="F45" s="24"/>
      <c r="G45" s="24"/>
      <c r="H45" s="24"/>
    </row>
    <row r="46" spans="1:8" s="22" customFormat="1" ht="17.25" customHeight="1">
      <c r="A46" s="290" t="str">
        <f>'ORÇAMENTO GERAL'!A133:B133</f>
        <v>PRAÇA ALFEU ALVES MAGALHÃES</v>
      </c>
      <c r="B46" s="290"/>
      <c r="C46" s="59"/>
      <c r="D46" s="59"/>
      <c r="E46" s="60"/>
      <c r="F46" s="59"/>
      <c r="G46" s="59"/>
      <c r="H46" s="59"/>
    </row>
    <row r="47" spans="1:8" ht="15">
      <c r="A47" s="293"/>
      <c r="B47" s="293" t="s">
        <v>156</v>
      </c>
      <c r="C47" s="31">
        <f>SUM(87.7+855)</f>
        <v>942.7</v>
      </c>
      <c r="D47" s="260">
        <f>C47</f>
        <v>942.7</v>
      </c>
      <c r="E47" s="16"/>
      <c r="F47" s="16"/>
      <c r="G47" s="16"/>
      <c r="H47" s="16"/>
    </row>
    <row r="48" spans="1:8" ht="15">
      <c r="A48" s="294"/>
      <c r="B48" s="294"/>
      <c r="C48" s="32">
        <f>C47/C115</f>
        <v>0.002633668220297638</v>
      </c>
      <c r="D48" s="262">
        <f>D47/C47</f>
        <v>1</v>
      </c>
      <c r="E48" s="18"/>
      <c r="F48" s="34"/>
      <c r="G48" s="34"/>
      <c r="H48" s="19"/>
    </row>
    <row r="49" spans="1:8" s="22" customFormat="1" ht="17.25" customHeight="1">
      <c r="A49" s="296">
        <v>10</v>
      </c>
      <c r="B49" s="296" t="str">
        <f>'ORÇAMENTO GERAL'!D134</f>
        <v>INSTALAÇÕES ELÉTRICAS</v>
      </c>
      <c r="C49" s="31">
        <f>'ORÇAMENTO GERAL'!J156</f>
        <v>5401.48</v>
      </c>
      <c r="D49" s="260"/>
      <c r="E49" s="16"/>
      <c r="F49" s="16"/>
      <c r="G49" s="16">
        <f>C49</f>
        <v>5401.48</v>
      </c>
      <c r="H49" s="16"/>
    </row>
    <row r="50" spans="1:8" s="22" customFormat="1" ht="15">
      <c r="A50" s="296"/>
      <c r="B50" s="296"/>
      <c r="C50" s="32">
        <f>C49/C115</f>
        <v>0.015090385296036153</v>
      </c>
      <c r="D50" s="261"/>
      <c r="E50" s="18"/>
      <c r="F50" s="34"/>
      <c r="G50" s="34">
        <f>G49/C49</f>
        <v>1</v>
      </c>
      <c r="H50" s="19"/>
    </row>
    <row r="51" spans="1:8" s="22" customFormat="1" ht="17.25" customHeight="1">
      <c r="A51" s="296">
        <v>11</v>
      </c>
      <c r="B51" s="296" t="str">
        <f>'ORÇAMENTO GERAL'!D158</f>
        <v>PISOS E ARTEFATOS DE CONCRETO</v>
      </c>
      <c r="C51" s="31">
        <f>'ORÇAMENTO GERAL'!J167</f>
        <v>36302.664800000006</v>
      </c>
      <c r="D51" s="260"/>
      <c r="E51" s="16"/>
      <c r="F51" s="16"/>
      <c r="G51" s="16"/>
      <c r="H51" s="16">
        <f>C51</f>
        <v>36302.664800000006</v>
      </c>
    </row>
    <row r="52" spans="1:8" s="22" customFormat="1" ht="15">
      <c r="A52" s="296"/>
      <c r="B52" s="296"/>
      <c r="C52" s="32">
        <f>C51/C115</f>
        <v>0.10142057345484004</v>
      </c>
      <c r="D52" s="261"/>
      <c r="E52" s="18"/>
      <c r="F52" s="34"/>
      <c r="G52" s="34"/>
      <c r="H52" s="34">
        <f>H51/C51</f>
        <v>1</v>
      </c>
    </row>
    <row r="53" spans="1:8" s="22" customFormat="1" ht="17.25" customHeight="1">
      <c r="A53" s="296">
        <v>12</v>
      </c>
      <c r="B53" s="296" t="str">
        <f>'ORÇAMENTO GERAL'!D169</f>
        <v>VEGETAÇÃO</v>
      </c>
      <c r="C53" s="31">
        <f>'ORÇAMENTO GERAL'!J172</f>
        <v>17553.125</v>
      </c>
      <c r="D53" s="260"/>
      <c r="E53" s="16"/>
      <c r="F53" s="16"/>
      <c r="G53" s="16"/>
      <c r="H53" s="16">
        <f>C53</f>
        <v>17553.125</v>
      </c>
    </row>
    <row r="54" spans="1:8" s="22" customFormat="1" ht="15">
      <c r="A54" s="296"/>
      <c r="B54" s="296"/>
      <c r="C54" s="32">
        <f>C53/C115</f>
        <v>0.04903904474319717</v>
      </c>
      <c r="D54" s="261"/>
      <c r="E54" s="18"/>
      <c r="F54" s="19"/>
      <c r="G54" s="34"/>
      <c r="H54" s="34">
        <f>H53/C53</f>
        <v>1</v>
      </c>
    </row>
    <row r="55" spans="1:8" s="22" customFormat="1" ht="15">
      <c r="A55" s="20"/>
      <c r="B55" s="20"/>
      <c r="C55" s="255"/>
      <c r="D55" s="255"/>
      <c r="E55" s="25"/>
      <c r="F55" s="255"/>
      <c r="G55" s="24"/>
      <c r="H55" s="24"/>
    </row>
    <row r="56" spans="1:8" s="22" customFormat="1" ht="17.25" customHeight="1">
      <c r="A56" s="290" t="s">
        <v>201</v>
      </c>
      <c r="B56" s="290"/>
      <c r="C56" s="59"/>
      <c r="D56" s="59"/>
      <c r="E56" s="60"/>
      <c r="F56" s="59"/>
      <c r="G56" s="59"/>
      <c r="H56" s="59"/>
    </row>
    <row r="57" spans="1:8" ht="15">
      <c r="A57" s="293"/>
      <c r="B57" s="293" t="s">
        <v>156</v>
      </c>
      <c r="C57" s="31">
        <f>SUM(87.7+838.47)</f>
        <v>926.1700000000001</v>
      </c>
      <c r="D57" s="260">
        <f>C57</f>
        <v>926.1700000000001</v>
      </c>
      <c r="E57" s="16"/>
      <c r="F57" s="16"/>
      <c r="G57" s="16"/>
      <c r="H57" s="16"/>
    </row>
    <row r="58" spans="1:8" ht="15">
      <c r="A58" s="294"/>
      <c r="B58" s="294"/>
      <c r="C58" s="32">
        <f>C57/C115</f>
        <v>0.0025874875311266182</v>
      </c>
      <c r="D58" s="262">
        <f>D57/C57</f>
        <v>1</v>
      </c>
      <c r="E58" s="18"/>
      <c r="F58" s="34"/>
      <c r="G58" s="34"/>
      <c r="H58" s="19"/>
    </row>
    <row r="59" spans="1:8" s="22" customFormat="1" ht="17.25" customHeight="1">
      <c r="A59" s="296"/>
      <c r="B59" s="296" t="s">
        <v>205</v>
      </c>
      <c r="C59" s="31">
        <v>878.4</v>
      </c>
      <c r="D59" s="260">
        <f>C59</f>
        <v>878.4</v>
      </c>
      <c r="E59" s="16"/>
      <c r="F59" s="16"/>
      <c r="G59" s="16">
        <v>5945.95</v>
      </c>
      <c r="H59" s="16"/>
    </row>
    <row r="60" spans="1:8" s="22" customFormat="1" ht="15">
      <c r="A60" s="296"/>
      <c r="B60" s="296"/>
      <c r="C60" s="32">
        <f>C59/C115</f>
        <v>0.002454030088797544</v>
      </c>
      <c r="D60" s="262">
        <f>D59/C59</f>
        <v>1</v>
      </c>
      <c r="E60" s="18"/>
      <c r="F60" s="34"/>
      <c r="G60" s="34">
        <f>G59/C59</f>
        <v>6.769068761384335</v>
      </c>
      <c r="H60" s="19"/>
    </row>
    <row r="61" spans="1:8" s="22" customFormat="1" ht="17.25" customHeight="1">
      <c r="A61" s="296"/>
      <c r="B61" s="296" t="s">
        <v>206</v>
      </c>
      <c r="C61" s="31">
        <v>1559.85</v>
      </c>
      <c r="D61" s="260">
        <f>C61</f>
        <v>1559.85</v>
      </c>
      <c r="E61" s="16"/>
      <c r="F61" s="16"/>
      <c r="G61" s="16"/>
      <c r="H61" s="16">
        <f>C61</f>
        <v>1559.85</v>
      </c>
    </row>
    <row r="62" spans="1:8" s="22" customFormat="1" ht="15">
      <c r="A62" s="296"/>
      <c r="B62" s="296"/>
      <c r="C62" s="32">
        <f>C61/C115</f>
        <v>0.004357831095185393</v>
      </c>
      <c r="D62" s="262">
        <f>D61/C61</f>
        <v>1</v>
      </c>
      <c r="E62" s="18"/>
      <c r="F62" s="34"/>
      <c r="G62" s="34"/>
      <c r="H62" s="34">
        <f>H61/C61</f>
        <v>1</v>
      </c>
    </row>
    <row r="63" spans="1:8" s="22" customFormat="1" ht="17.25" customHeight="1">
      <c r="A63" s="296"/>
      <c r="B63" s="296" t="s">
        <v>14</v>
      </c>
      <c r="C63" s="31">
        <f>SUM(2267.49+838.04)</f>
        <v>3105.5299999999997</v>
      </c>
      <c r="D63" s="260">
        <f>C63</f>
        <v>3105.5299999999997</v>
      </c>
      <c r="E63" s="16"/>
      <c r="F63" s="16"/>
      <c r="G63" s="16"/>
      <c r="H63" s="16">
        <f>C63</f>
        <v>3105.5299999999997</v>
      </c>
    </row>
    <row r="64" spans="1:8" s="22" customFormat="1" ht="15">
      <c r="A64" s="296"/>
      <c r="B64" s="296"/>
      <c r="C64" s="32">
        <f>C63/C115</f>
        <v>0.008676074751438338</v>
      </c>
      <c r="D64" s="262">
        <f>D63/C63</f>
        <v>1</v>
      </c>
      <c r="E64" s="18"/>
      <c r="F64" s="19"/>
      <c r="G64" s="34"/>
      <c r="H64" s="34">
        <f>H63/C63</f>
        <v>1</v>
      </c>
    </row>
    <row r="65" spans="1:8" s="22" customFormat="1" ht="17.25" customHeight="1">
      <c r="A65" s="296"/>
      <c r="B65" s="296" t="s">
        <v>207</v>
      </c>
      <c r="C65" s="31">
        <f>SUM(505.95+178.9+340+59.16+36.18+32.64+19.36+38.44+5.96+7.62+7.98+56.75+9.94+28.99)</f>
        <v>1327.8700000000001</v>
      </c>
      <c r="D65" s="260">
        <f>C65</f>
        <v>1327.8700000000001</v>
      </c>
      <c r="E65" s="16"/>
      <c r="F65" s="16"/>
      <c r="G65" s="16"/>
      <c r="H65" s="16">
        <f>C65</f>
        <v>1327.8700000000001</v>
      </c>
    </row>
    <row r="66" spans="1:8" s="22" customFormat="1" ht="15">
      <c r="A66" s="296"/>
      <c r="B66" s="296"/>
      <c r="C66" s="32">
        <f>C65/C115</f>
        <v>0.003709736946734512</v>
      </c>
      <c r="D66" s="262">
        <f>D65/C65</f>
        <v>1</v>
      </c>
      <c r="E66" s="18"/>
      <c r="F66" s="19"/>
      <c r="G66" s="34"/>
      <c r="H66" s="34">
        <f>H65/C65</f>
        <v>1</v>
      </c>
    </row>
    <row r="67" spans="1:8" s="22" customFormat="1" ht="17.25" customHeight="1">
      <c r="A67" s="296"/>
      <c r="B67" s="296" t="s">
        <v>208</v>
      </c>
      <c r="C67" s="31">
        <v>17211.15</v>
      </c>
      <c r="D67" s="260">
        <f>C67</f>
        <v>17211.15</v>
      </c>
      <c r="E67" s="16"/>
      <c r="F67" s="16"/>
      <c r="G67" s="16"/>
      <c r="H67" s="16">
        <f>C67</f>
        <v>17211.15</v>
      </c>
    </row>
    <row r="68" spans="1:8" s="22" customFormat="1" ht="15">
      <c r="A68" s="296"/>
      <c r="B68" s="296"/>
      <c r="C68" s="32">
        <f>C67/C115</f>
        <v>0.048083652052376885</v>
      </c>
      <c r="D68" s="262">
        <f>D67/C67</f>
        <v>1</v>
      </c>
      <c r="E68" s="18"/>
      <c r="F68" s="19"/>
      <c r="G68" s="34"/>
      <c r="H68" s="34">
        <f>H67/C67</f>
        <v>1</v>
      </c>
    </row>
    <row r="69" spans="1:8" s="22" customFormat="1" ht="17.25" customHeight="1">
      <c r="A69" s="296"/>
      <c r="B69" s="296" t="s">
        <v>24</v>
      </c>
      <c r="C69" s="31">
        <f>SUM(251.94+18.96+2414.4)</f>
        <v>2685.3</v>
      </c>
      <c r="D69" s="260">
        <f>C69</f>
        <v>2685.3</v>
      </c>
      <c r="E69" s="16"/>
      <c r="F69" s="16"/>
      <c r="G69" s="16"/>
      <c r="H69" s="16">
        <f>C69</f>
        <v>2685.3</v>
      </c>
    </row>
    <row r="70" spans="1:8" s="22" customFormat="1" ht="15">
      <c r="A70" s="296"/>
      <c r="B70" s="296"/>
      <c r="C70" s="32">
        <f>C69/C115</f>
        <v>0.007502057146457247</v>
      </c>
      <c r="D70" s="262">
        <f>D69/C69</f>
        <v>1</v>
      </c>
      <c r="E70" s="18"/>
      <c r="F70" s="19"/>
      <c r="G70" s="34"/>
      <c r="H70" s="34">
        <f>H69/C69</f>
        <v>1</v>
      </c>
    </row>
    <row r="71" spans="1:8" s="22" customFormat="1" ht="17.25" customHeight="1">
      <c r="A71" s="296"/>
      <c r="B71" s="296" t="s">
        <v>209</v>
      </c>
      <c r="C71" s="31">
        <v>1048.8</v>
      </c>
      <c r="D71" s="260">
        <f>C71</f>
        <v>1048.8</v>
      </c>
      <c r="E71" s="16"/>
      <c r="F71" s="16"/>
      <c r="G71" s="16"/>
      <c r="H71" s="16">
        <f>C71</f>
        <v>1048.8</v>
      </c>
    </row>
    <row r="72" spans="1:8" s="22" customFormat="1" ht="15">
      <c r="A72" s="296"/>
      <c r="B72" s="296"/>
      <c r="C72" s="32">
        <f>C71/C115</f>
        <v>0.002930085106023297</v>
      </c>
      <c r="D72" s="262">
        <f>D71/C71</f>
        <v>1</v>
      </c>
      <c r="E72" s="18"/>
      <c r="F72" s="19"/>
      <c r="G72" s="34"/>
      <c r="H72" s="34">
        <f>H71/C71</f>
        <v>1</v>
      </c>
    </row>
    <row r="73" spans="1:8" s="22" customFormat="1" ht="15">
      <c r="A73" s="20"/>
      <c r="B73" s="20"/>
      <c r="C73" s="258"/>
      <c r="D73" s="255"/>
      <c r="E73" s="25"/>
      <c r="F73" s="255"/>
      <c r="G73" s="24"/>
      <c r="H73" s="24"/>
    </row>
    <row r="74" spans="1:8" s="22" customFormat="1" ht="17.25" customHeight="1">
      <c r="A74" s="290" t="s">
        <v>203</v>
      </c>
      <c r="B74" s="290"/>
      <c r="C74" s="59"/>
      <c r="D74" s="59"/>
      <c r="E74" s="60"/>
      <c r="F74" s="59"/>
      <c r="G74" s="59"/>
      <c r="H74" s="59"/>
    </row>
    <row r="75" spans="1:8" ht="15">
      <c r="A75" s="293"/>
      <c r="B75" s="293" t="s">
        <v>156</v>
      </c>
      <c r="C75" s="31">
        <f>SUM(87.7+855)</f>
        <v>942.7</v>
      </c>
      <c r="D75" s="260">
        <f>C75</f>
        <v>942.7</v>
      </c>
      <c r="E75" s="16"/>
      <c r="F75" s="16"/>
      <c r="G75" s="16"/>
      <c r="H75" s="16"/>
    </row>
    <row r="76" spans="1:8" ht="15">
      <c r="A76" s="294"/>
      <c r="B76" s="294"/>
      <c r="C76" s="32">
        <f>C75/C115</f>
        <v>0.002633668220297638</v>
      </c>
      <c r="D76" s="262">
        <f>D75/C75</f>
        <v>1</v>
      </c>
      <c r="E76" s="18"/>
      <c r="F76" s="34"/>
      <c r="G76" s="34"/>
      <c r="H76" s="19"/>
    </row>
    <row r="77" spans="1:8" s="22" customFormat="1" ht="17.25" customHeight="1">
      <c r="A77" s="296"/>
      <c r="B77" s="296" t="s">
        <v>205</v>
      </c>
      <c r="C77" s="31">
        <v>109.8</v>
      </c>
      <c r="D77" s="260">
        <f>C77</f>
        <v>109.8</v>
      </c>
      <c r="E77" s="16"/>
      <c r="F77" s="16"/>
      <c r="G77" s="16">
        <v>5945.95</v>
      </c>
      <c r="H77" s="16"/>
    </row>
    <row r="78" spans="1:8" s="22" customFormat="1" ht="15">
      <c r="A78" s="296"/>
      <c r="B78" s="296"/>
      <c r="C78" s="32">
        <f>C77/C115</f>
        <v>0.000306753761099693</v>
      </c>
      <c r="D78" s="262">
        <f>D77/C77</f>
        <v>1</v>
      </c>
      <c r="E78" s="18"/>
      <c r="F78" s="34"/>
      <c r="G78" s="34">
        <f>G77/C77</f>
        <v>54.15255009107468</v>
      </c>
      <c r="H78" s="19"/>
    </row>
    <row r="79" spans="1:8" s="22" customFormat="1" ht="17.25" customHeight="1">
      <c r="A79" s="296"/>
      <c r="B79" s="296" t="s">
        <v>206</v>
      </c>
      <c r="C79" s="31">
        <v>2495.76</v>
      </c>
      <c r="D79" s="260">
        <f>C79</f>
        <v>2495.76</v>
      </c>
      <c r="E79" s="16"/>
      <c r="F79" s="16"/>
      <c r="G79" s="16"/>
      <c r="H79" s="16">
        <f>C79</f>
        <v>2495.76</v>
      </c>
    </row>
    <row r="80" spans="1:8" s="22" customFormat="1" ht="15">
      <c r="A80" s="296"/>
      <c r="B80" s="296"/>
      <c r="C80" s="32">
        <f>C79/C115</f>
        <v>0.006972529752296629</v>
      </c>
      <c r="D80" s="262">
        <f>D79/C79</f>
        <v>1</v>
      </c>
      <c r="E80" s="18"/>
      <c r="F80" s="34"/>
      <c r="G80" s="34"/>
      <c r="H80" s="34">
        <f>H79/C79</f>
        <v>1</v>
      </c>
    </row>
    <row r="81" spans="1:8" s="22" customFormat="1" ht="17.25" customHeight="1">
      <c r="A81" s="296"/>
      <c r="B81" s="296" t="s">
        <v>14</v>
      </c>
      <c r="C81" s="31">
        <f>SUM(847.23+99.56+1511.66)</f>
        <v>2458.45</v>
      </c>
      <c r="D81" s="260">
        <f>C81</f>
        <v>2458.45</v>
      </c>
      <c r="E81" s="16"/>
      <c r="F81" s="16"/>
      <c r="G81" s="16"/>
      <c r="H81" s="16">
        <f>C81</f>
        <v>2458.45</v>
      </c>
    </row>
    <row r="82" spans="1:8" s="22" customFormat="1" ht="15">
      <c r="A82" s="296"/>
      <c r="B82" s="296"/>
      <c r="C82" s="32">
        <f>C81/C115</f>
        <v>0.006868294936024957</v>
      </c>
      <c r="D82" s="262">
        <f>D81/C81</f>
        <v>1</v>
      </c>
      <c r="E82" s="18"/>
      <c r="F82" s="19"/>
      <c r="G82" s="34"/>
      <c r="H82" s="34">
        <f>H81/C81</f>
        <v>1</v>
      </c>
    </row>
    <row r="83" spans="1:8" s="22" customFormat="1" ht="17.25" customHeight="1">
      <c r="A83" s="296"/>
      <c r="B83" s="296" t="s">
        <v>207</v>
      </c>
      <c r="C83" s="31">
        <f>SUM(505.95+178.9+340+59.16+36.18+32.64+19.36+38.44+5.96+7.64+7.98+56.75+9.94+28.99)</f>
        <v>1327.8900000000003</v>
      </c>
      <c r="D83" s="260">
        <f>C83</f>
        <v>1327.8900000000003</v>
      </c>
      <c r="E83" s="16"/>
      <c r="F83" s="16"/>
      <c r="G83" s="16"/>
      <c r="H83" s="16">
        <f>C83</f>
        <v>1327.8900000000003</v>
      </c>
    </row>
    <row r="84" spans="1:8" s="22" customFormat="1" ht="15">
      <c r="A84" s="296"/>
      <c r="B84" s="296"/>
      <c r="C84" s="32">
        <f>C83/C115</f>
        <v>0.0037097928217365342</v>
      </c>
      <c r="D84" s="262">
        <f>D83/C83</f>
        <v>1</v>
      </c>
      <c r="E84" s="18"/>
      <c r="F84" s="259"/>
      <c r="G84" s="34"/>
      <c r="H84" s="34">
        <f>H83/C83</f>
        <v>1</v>
      </c>
    </row>
    <row r="85" spans="1:8" s="22" customFormat="1" ht="17.25" customHeight="1">
      <c r="A85" s="296"/>
      <c r="B85" s="296" t="s">
        <v>208</v>
      </c>
      <c r="C85" s="31">
        <v>13167</v>
      </c>
      <c r="D85" s="260">
        <f>C85</f>
        <v>13167</v>
      </c>
      <c r="E85" s="16"/>
      <c r="F85" s="16"/>
      <c r="G85" s="16"/>
      <c r="H85" s="16">
        <f>C85</f>
        <v>13167</v>
      </c>
    </row>
    <row r="86" spans="1:8" s="22" customFormat="1" ht="15">
      <c r="A86" s="296"/>
      <c r="B86" s="296"/>
      <c r="C86" s="32">
        <f>C85/C115</f>
        <v>0.03678530758105335</v>
      </c>
      <c r="D86" s="262">
        <f>D85/C85</f>
        <v>1</v>
      </c>
      <c r="E86" s="18"/>
      <c r="F86" s="19"/>
      <c r="G86" s="34"/>
      <c r="H86" s="34">
        <f>H85/C85</f>
        <v>1</v>
      </c>
    </row>
    <row r="87" spans="1:8" s="22" customFormat="1" ht="17.25" customHeight="1">
      <c r="A87" s="296"/>
      <c r="B87" s="296" t="s">
        <v>24</v>
      </c>
      <c r="C87" s="31">
        <f>SUM(348.84+7796.5)</f>
        <v>8145.34</v>
      </c>
      <c r="D87" s="260">
        <f>C87</f>
        <v>8145.34</v>
      </c>
      <c r="E87" s="16"/>
      <c r="F87" s="16"/>
      <c r="G87" s="16"/>
      <c r="H87" s="16">
        <f>C87</f>
        <v>8145.34</v>
      </c>
    </row>
    <row r="88" spans="1:8" s="22" customFormat="1" ht="15">
      <c r="A88" s="296"/>
      <c r="B88" s="296"/>
      <c r="C88" s="32">
        <f>C87/C115</f>
        <v>0.022756044448413237</v>
      </c>
      <c r="D88" s="262">
        <f>D87/C87</f>
        <v>1</v>
      </c>
      <c r="E88" s="18"/>
      <c r="F88" s="19"/>
      <c r="G88" s="34"/>
      <c r="H88" s="34">
        <f>H87/C87</f>
        <v>1</v>
      </c>
    </row>
    <row r="89" spans="1:8" s="22" customFormat="1" ht="17.25" customHeight="1">
      <c r="A89" s="296"/>
      <c r="B89" s="296" t="s">
        <v>209</v>
      </c>
      <c r="C89" s="31">
        <v>393.3</v>
      </c>
      <c r="D89" s="260">
        <f>C89</f>
        <v>393.3</v>
      </c>
      <c r="E89" s="16"/>
      <c r="F89" s="16"/>
      <c r="G89" s="16"/>
      <c r="H89" s="16">
        <f>C89</f>
        <v>393.3</v>
      </c>
    </row>
    <row r="90" spans="1:8" s="22" customFormat="1" ht="15">
      <c r="A90" s="296"/>
      <c r="B90" s="296"/>
      <c r="C90" s="32">
        <f>C89/C115</f>
        <v>0.0010987819147587365</v>
      </c>
      <c r="D90" s="262">
        <f>D89/C89</f>
        <v>1</v>
      </c>
      <c r="E90" s="18"/>
      <c r="F90" s="19"/>
      <c r="G90" s="34"/>
      <c r="H90" s="34">
        <f>H89/C89</f>
        <v>1</v>
      </c>
    </row>
    <row r="91" spans="1:8" s="22" customFormat="1" ht="15">
      <c r="A91" s="20"/>
      <c r="B91" s="20"/>
      <c r="C91" s="255"/>
      <c r="D91" s="255"/>
      <c r="E91" s="25"/>
      <c r="F91" s="255"/>
      <c r="G91" s="24"/>
      <c r="H91" s="24"/>
    </row>
    <row r="92" spans="1:8" s="22" customFormat="1" ht="17.25" customHeight="1">
      <c r="A92" s="290" t="s">
        <v>202</v>
      </c>
      <c r="B92" s="290"/>
      <c r="C92" s="59"/>
      <c r="D92" s="59"/>
      <c r="E92" s="60"/>
      <c r="F92" s="59"/>
      <c r="G92" s="59"/>
      <c r="H92" s="59"/>
    </row>
    <row r="93" spans="1:8" ht="15">
      <c r="A93" s="293"/>
      <c r="B93" s="293" t="s">
        <v>156</v>
      </c>
      <c r="C93" s="31">
        <f>SUM(87.7+855)</f>
        <v>942.7</v>
      </c>
      <c r="D93" s="260">
        <f>C93</f>
        <v>942.7</v>
      </c>
      <c r="E93" s="16"/>
      <c r="F93" s="16"/>
      <c r="G93" s="16"/>
      <c r="H93" s="16"/>
    </row>
    <row r="94" spans="1:8" ht="15">
      <c r="A94" s="294"/>
      <c r="B94" s="294"/>
      <c r="C94" s="32">
        <f>C93/C115</f>
        <v>0.002633668220297638</v>
      </c>
      <c r="D94" s="262">
        <f>D93/C93</f>
        <v>1</v>
      </c>
      <c r="E94" s="18"/>
      <c r="F94" s="34"/>
      <c r="G94" s="34"/>
      <c r="H94" s="19"/>
    </row>
    <row r="95" spans="1:8" s="22" customFormat="1" ht="17.25" customHeight="1">
      <c r="A95" s="296"/>
      <c r="B95" s="296" t="s">
        <v>205</v>
      </c>
      <c r="C95" s="31">
        <v>114.85</v>
      </c>
      <c r="D95" s="260">
        <f>C95</f>
        <v>114.85</v>
      </c>
      <c r="E95" s="16"/>
      <c r="F95" s="16"/>
      <c r="G95" s="16">
        <v>5945.95</v>
      </c>
      <c r="H95" s="16"/>
    </row>
    <row r="96" spans="1:8" s="22" customFormat="1" ht="15">
      <c r="A96" s="296"/>
      <c r="B96" s="296"/>
      <c r="C96" s="32">
        <f>C95/C115</f>
        <v>0.000320862199110198</v>
      </c>
      <c r="D96" s="262">
        <f>D95/C95</f>
        <v>1</v>
      </c>
      <c r="E96" s="18"/>
      <c r="F96" s="34"/>
      <c r="G96" s="34">
        <f>G95/C95</f>
        <v>51.77144101001306</v>
      </c>
      <c r="H96" s="19"/>
    </row>
    <row r="97" spans="1:8" s="22" customFormat="1" ht="17.25" customHeight="1">
      <c r="A97" s="296"/>
      <c r="B97" s="296" t="s">
        <v>206</v>
      </c>
      <c r="C97" s="31">
        <v>2180.67</v>
      </c>
      <c r="D97" s="260">
        <f>C97</f>
        <v>2180.67</v>
      </c>
      <c r="E97" s="16"/>
      <c r="F97" s="16"/>
      <c r="G97" s="16"/>
      <c r="H97" s="16">
        <f>C97</f>
        <v>2180.67</v>
      </c>
    </row>
    <row r="98" spans="1:8" s="22" customFormat="1" ht="15">
      <c r="A98" s="296"/>
      <c r="B98" s="296"/>
      <c r="C98" s="32">
        <f>C97/C115</f>
        <v>0.006092247032944149</v>
      </c>
      <c r="D98" s="262">
        <f>D97/C97</f>
        <v>1</v>
      </c>
      <c r="E98" s="18"/>
      <c r="F98" s="34"/>
      <c r="G98" s="34"/>
      <c r="H98" s="34">
        <f>H97/C97</f>
        <v>1</v>
      </c>
    </row>
    <row r="99" spans="1:8" s="22" customFormat="1" ht="17.25" customHeight="1">
      <c r="A99" s="296"/>
      <c r="B99" s="296" t="s">
        <v>14</v>
      </c>
      <c r="C99" s="31">
        <f>SUM(847.23+99.56+2267.49+2514.12)</f>
        <v>5728.4</v>
      </c>
      <c r="D99" s="260">
        <f>C99</f>
        <v>5728.4</v>
      </c>
      <c r="E99" s="16"/>
      <c r="F99" s="16"/>
      <c r="G99" s="16"/>
      <c r="H99" s="16">
        <f>C99</f>
        <v>5728.4</v>
      </c>
    </row>
    <row r="100" spans="1:8" s="22" customFormat="1" ht="15">
      <c r="A100" s="296"/>
      <c r="B100" s="296"/>
      <c r="C100" s="32">
        <f>C99/C115</f>
        <v>0.01600371807908453</v>
      </c>
      <c r="D100" s="262">
        <f>D99/C99</f>
        <v>1</v>
      </c>
      <c r="E100" s="18"/>
      <c r="F100" s="19"/>
      <c r="G100" s="34"/>
      <c r="H100" s="34">
        <f>H99/C99</f>
        <v>1</v>
      </c>
    </row>
    <row r="101" spans="1:8" s="22" customFormat="1" ht="17.25" customHeight="1">
      <c r="A101" s="296"/>
      <c r="B101" s="296" t="s">
        <v>207</v>
      </c>
      <c r="C101" s="31">
        <f>SUM(404.76+178.9+46.86+32.7+238+59.16+36.18+32.64+19.36+38.44+6.32+7.8+8.16+56.85+9.94+28.99+38.64+57.12+78.18+80.4+37.48+14.52+18.82+10.98+21)</f>
        <v>1562.2</v>
      </c>
      <c r="D101" s="260">
        <f>C101</f>
        <v>1562.2</v>
      </c>
      <c r="E101" s="16"/>
      <c r="F101" s="16"/>
      <c r="G101" s="16"/>
      <c r="H101" s="16">
        <f>C101</f>
        <v>1562.2</v>
      </c>
    </row>
    <row r="102" spans="1:8" s="22" customFormat="1" ht="15">
      <c r="A102" s="296"/>
      <c r="B102" s="296"/>
      <c r="C102" s="32">
        <f>C101/C115</f>
        <v>0.0043643964079229545</v>
      </c>
      <c r="D102" s="262">
        <f>D101/C101</f>
        <v>1</v>
      </c>
      <c r="E102" s="18"/>
      <c r="F102" s="259"/>
      <c r="G102" s="34"/>
      <c r="H102" s="34">
        <f>H101/C101</f>
        <v>1</v>
      </c>
    </row>
    <row r="103" spans="1:8" s="22" customFormat="1" ht="17.25" customHeight="1">
      <c r="A103" s="296"/>
      <c r="B103" s="296" t="s">
        <v>208</v>
      </c>
      <c r="C103" s="31">
        <v>39218.85</v>
      </c>
      <c r="D103" s="260">
        <f>C103</f>
        <v>39218.85</v>
      </c>
      <c r="E103" s="16"/>
      <c r="F103" s="16"/>
      <c r="G103" s="16"/>
      <c r="H103" s="16">
        <f>C103</f>
        <v>39218.85</v>
      </c>
    </row>
    <row r="104" spans="1:8" s="22" customFormat="1" ht="15">
      <c r="A104" s="296"/>
      <c r="B104" s="296"/>
      <c r="C104" s="32">
        <f>C103/C115</f>
        <v>0.10956766615213748</v>
      </c>
      <c r="D104" s="262">
        <f>D103/C103</f>
        <v>1</v>
      </c>
      <c r="E104" s="18"/>
      <c r="F104" s="19"/>
      <c r="G104" s="34"/>
      <c r="H104" s="34">
        <f>H103/C103</f>
        <v>1</v>
      </c>
    </row>
    <row r="105" spans="1:8" s="22" customFormat="1" ht="17.25" customHeight="1">
      <c r="A105" s="296"/>
      <c r="B105" s="296" t="s">
        <v>24</v>
      </c>
      <c r="C105" s="31">
        <f>SUM(139.04+591.09+5502.82)</f>
        <v>6232.95</v>
      </c>
      <c r="D105" s="260">
        <f>C105</f>
        <v>6232.95</v>
      </c>
      <c r="E105" s="16"/>
      <c r="F105" s="16"/>
      <c r="G105" s="16"/>
      <c r="H105" s="16">
        <f>C105</f>
        <v>6232.95</v>
      </c>
    </row>
    <row r="106" spans="1:8" s="22" customFormat="1" ht="15">
      <c r="A106" s="296"/>
      <c r="B106" s="296"/>
      <c r="C106" s="32">
        <f>C105/C115</f>
        <v>0.01741330469258954</v>
      </c>
      <c r="D106" s="262">
        <f>D105/C105</f>
        <v>1</v>
      </c>
      <c r="E106" s="18"/>
      <c r="F106" s="19"/>
      <c r="G106" s="34"/>
      <c r="H106" s="34">
        <f>H105/C105</f>
        <v>1</v>
      </c>
    </row>
    <row r="107" spans="1:8" s="22" customFormat="1" ht="17.25" customHeight="1">
      <c r="A107" s="296"/>
      <c r="B107" s="296" t="s">
        <v>209</v>
      </c>
      <c r="C107" s="31">
        <v>1311</v>
      </c>
      <c r="D107" s="260">
        <f>C107</f>
        <v>1311</v>
      </c>
      <c r="E107" s="16"/>
      <c r="F107" s="16"/>
      <c r="G107" s="16"/>
      <c r="H107" s="16">
        <f>C107</f>
        <v>1311</v>
      </c>
    </row>
    <row r="108" spans="1:8" s="22" customFormat="1" ht="15">
      <c r="A108" s="296"/>
      <c r="B108" s="296"/>
      <c r="C108" s="32">
        <f>C107/C115</f>
        <v>0.0036626063825291213</v>
      </c>
      <c r="D108" s="262">
        <f>D107/C107</f>
        <v>1</v>
      </c>
      <c r="E108" s="18"/>
      <c r="F108" s="19"/>
      <c r="G108" s="34"/>
      <c r="H108" s="34">
        <f>H107/C107</f>
        <v>1</v>
      </c>
    </row>
    <row r="109" spans="1:8" s="22" customFormat="1" ht="15">
      <c r="A109" s="20"/>
      <c r="B109" s="20"/>
      <c r="C109" s="255"/>
      <c r="D109" s="255"/>
      <c r="E109" s="25"/>
      <c r="F109" s="255"/>
      <c r="G109" s="24"/>
      <c r="H109" s="24"/>
    </row>
    <row r="110" spans="1:8" s="22" customFormat="1" ht="15">
      <c r="A110" s="20"/>
      <c r="B110" s="20"/>
      <c r="C110" s="258"/>
      <c r="D110" s="255"/>
      <c r="E110" s="25"/>
      <c r="F110" s="255"/>
      <c r="G110" s="24"/>
      <c r="H110" s="24"/>
    </row>
    <row r="111" spans="1:8" s="22" customFormat="1" ht="11.25" customHeight="1">
      <c r="A111" s="20"/>
      <c r="B111" s="21"/>
      <c r="C111" s="23"/>
      <c r="D111" s="255"/>
      <c r="E111" s="24"/>
      <c r="F111" s="24"/>
      <c r="G111" s="24"/>
      <c r="H111" s="24"/>
    </row>
    <row r="112" spans="1:8" s="22" customFormat="1" ht="11.25" customHeight="1">
      <c r="A112" s="293">
        <v>13</v>
      </c>
      <c r="B112" s="293" t="str">
        <f>'ORÇAMENTO GERAL'!D176</f>
        <v>ADMINISTRAÇÃO DE OBRA</v>
      </c>
      <c r="C112" s="31">
        <f>'ORÇAMENTO GERAL'!J180</f>
        <v>10467.599999999999</v>
      </c>
      <c r="D112" s="260"/>
      <c r="E112" s="16">
        <f>$C$112*0.25</f>
        <v>2616.8999999999996</v>
      </c>
      <c r="F112" s="16">
        <f>$C$112*0.25</f>
        <v>2616.8999999999996</v>
      </c>
      <c r="G112" s="16">
        <f>$C$112*0.25</f>
        <v>2616.8999999999996</v>
      </c>
      <c r="H112" s="16">
        <f>$C$112*0.25</f>
        <v>2616.8999999999996</v>
      </c>
    </row>
    <row r="113" spans="1:8" s="22" customFormat="1" ht="14.25" customHeight="1">
      <c r="A113" s="294"/>
      <c r="B113" s="294"/>
      <c r="C113" s="32">
        <f>C112/C115</f>
        <v>0.02924385855817073</v>
      </c>
      <c r="D113" s="261"/>
      <c r="E113" s="18">
        <f>E112/$C$112</f>
        <v>0.25</v>
      </c>
      <c r="F113" s="18">
        <f>F112/$C$112</f>
        <v>0.25</v>
      </c>
      <c r="G113" s="18">
        <f>G112/$C$112</f>
        <v>0.25</v>
      </c>
      <c r="H113" s="18">
        <f>H112/$C$112</f>
        <v>0.25</v>
      </c>
    </row>
    <row r="114" spans="1:8" s="22" customFormat="1" ht="10.5" customHeight="1">
      <c r="A114" s="20"/>
      <c r="B114" s="21"/>
      <c r="C114" s="23"/>
      <c r="D114" s="255"/>
      <c r="E114" s="24"/>
      <c r="F114" s="24"/>
      <c r="G114" s="24"/>
      <c r="H114" s="24"/>
    </row>
    <row r="115" spans="1:8" ht="15">
      <c r="A115" s="310" t="s">
        <v>20</v>
      </c>
      <c r="B115" s="406"/>
      <c r="C115" s="31">
        <f>C19+C23+C29+C31+C33+C39+C41+C43+C49+C51+C53+C112+C21+C107+C105+C103+C101+C99+C97+C95+C93+C89+C87+C85+C83+C81+C79+C77+C75+C71+C69+C67+C65+C63+C61+C59+C57+C47+C37+C27</f>
        <v>357941.82150000014</v>
      </c>
      <c r="D115" s="260">
        <f>SUM(D107+D105+D103+D101+D99+D97+D95+D93+D89+D87+D85+D83+D81+D79+D77+D75+D71+D69+D67+D65+D63+D61+D59+D57+D47+D37+D27)</f>
        <v>117903.02999999997</v>
      </c>
      <c r="E115" s="16">
        <f>E19+E23+E29+E112+E31+E21</f>
        <v>65454.515250000004</v>
      </c>
      <c r="F115" s="16">
        <f>F31+F39+F41+F112+F43+F33</f>
        <v>70915.1151</v>
      </c>
      <c r="G115" s="16">
        <f>G33+G39+G41+G49+G112</f>
        <v>47196.47135</v>
      </c>
      <c r="H115" s="16">
        <f>H51+H53+H112</f>
        <v>56472.68980000001</v>
      </c>
    </row>
    <row r="116" spans="1:8" ht="15">
      <c r="A116" s="45"/>
      <c r="B116" s="45" t="s">
        <v>221</v>
      </c>
      <c r="C116" s="31">
        <f>'ORÇAMENTO GERAL'!J186</f>
        <v>69371.2107435</v>
      </c>
      <c r="D116" s="260"/>
      <c r="E116" s="16">
        <f>E115*0.289</f>
        <v>18916.35490725</v>
      </c>
      <c r="F116" s="16">
        <f>F115*0.289</f>
        <v>20494.4682639</v>
      </c>
      <c r="G116" s="16">
        <f>G115*0.289</f>
        <v>13639.780220149998</v>
      </c>
      <c r="H116" s="16">
        <f>H115*0.289</f>
        <v>16320.6073522</v>
      </c>
    </row>
    <row r="117" spans="1:8" ht="15">
      <c r="A117" s="268"/>
      <c r="B117" s="45" t="s">
        <v>6</v>
      </c>
      <c r="C117" s="31">
        <f>C115+C116</f>
        <v>427313.0322435001</v>
      </c>
      <c r="D117" s="260">
        <f>SUM(D115+D116)</f>
        <v>117903.02999999997</v>
      </c>
      <c r="E117" s="16">
        <f>E115+E116</f>
        <v>84370.87015725</v>
      </c>
      <c r="F117" s="16">
        <f>F115+F116</f>
        <v>91409.58336389999</v>
      </c>
      <c r="G117" s="16">
        <f>G115+G116</f>
        <v>60836.251570149994</v>
      </c>
      <c r="H117" s="16">
        <f>H115+H116</f>
        <v>72793.29715220002</v>
      </c>
    </row>
    <row r="118" spans="1:8" ht="15">
      <c r="A118" s="310" t="s">
        <v>21</v>
      </c>
      <c r="B118" s="406"/>
      <c r="C118" s="61">
        <f>E118+F118+G118+H118+D118</f>
        <v>0.9999999999999996</v>
      </c>
      <c r="D118" s="263">
        <f>D115/C115</f>
        <v>0.32939160198132905</v>
      </c>
      <c r="E118" s="18">
        <f>E115/$C$115</f>
        <v>0.18286355859649103</v>
      </c>
      <c r="F118" s="19">
        <f>F115/$C$115</f>
        <v>0.19811910997944107</v>
      </c>
      <c r="G118" s="19">
        <f>G115/$C$115</f>
        <v>0.1318551466051585</v>
      </c>
      <c r="H118" s="19">
        <f>H115/$C$115</f>
        <v>0.1577705828375799</v>
      </c>
    </row>
    <row r="119" spans="1:8" ht="15">
      <c r="A119" s="26"/>
      <c r="B119" s="26"/>
      <c r="C119" s="23"/>
      <c r="D119" s="255"/>
      <c r="E119" s="23"/>
      <c r="F119" s="23"/>
      <c r="G119" s="23"/>
      <c r="H119" s="23"/>
    </row>
    <row r="120" spans="1:9" ht="15.75">
      <c r="A120" s="297" t="s">
        <v>222</v>
      </c>
      <c r="B120" s="297"/>
      <c r="C120" s="297"/>
      <c r="D120" s="297"/>
      <c r="E120" s="297"/>
      <c r="F120" s="297"/>
      <c r="G120" s="297"/>
      <c r="H120" s="297"/>
      <c r="I120" s="215"/>
    </row>
    <row r="121" spans="1:9" s="27" customFormat="1" ht="39" customHeight="1">
      <c r="A121" s="307"/>
      <c r="B121" s="307"/>
      <c r="C121" s="307"/>
      <c r="D121" s="307"/>
      <c r="E121" s="307"/>
      <c r="F121" s="307"/>
      <c r="G121" s="307"/>
      <c r="H121" s="307"/>
      <c r="I121" s="216"/>
    </row>
    <row r="122" spans="1:9" ht="12" customHeight="1">
      <c r="A122" s="299" t="s">
        <v>117</v>
      </c>
      <c r="B122" s="299"/>
      <c r="C122" s="299"/>
      <c r="D122" s="299"/>
      <c r="E122" s="299"/>
      <c r="F122" s="299"/>
      <c r="G122" s="299"/>
      <c r="H122" s="299"/>
      <c r="I122" s="299"/>
    </row>
    <row r="123" spans="1:11" ht="15.75" customHeight="1">
      <c r="A123" s="295" t="s">
        <v>126</v>
      </c>
      <c r="B123" s="295"/>
      <c r="C123" s="295"/>
      <c r="D123" s="295"/>
      <c r="E123" s="295"/>
      <c r="F123" s="295"/>
      <c r="G123" s="295"/>
      <c r="H123" s="295"/>
      <c r="I123" s="295"/>
      <c r="J123" s="209"/>
      <c r="K123" s="209"/>
    </row>
    <row r="124" spans="1:9" s="28" customFormat="1" ht="16.5" customHeight="1">
      <c r="A124" s="295" t="s">
        <v>127</v>
      </c>
      <c r="B124" s="295"/>
      <c r="C124" s="295"/>
      <c r="D124" s="295"/>
      <c r="E124" s="295"/>
      <c r="F124" s="295"/>
      <c r="G124" s="295"/>
      <c r="H124" s="295"/>
      <c r="I124" s="295"/>
    </row>
  </sheetData>
  <sheetProtection/>
  <mergeCells count="102">
    <mergeCell ref="A120:H120"/>
    <mergeCell ref="A121:H121"/>
    <mergeCell ref="A122:I122"/>
    <mergeCell ref="A123:I123"/>
    <mergeCell ref="A124:I124"/>
    <mergeCell ref="A27:A28"/>
    <mergeCell ref="B27:B28"/>
    <mergeCell ref="A37:A38"/>
    <mergeCell ref="B37:B38"/>
    <mergeCell ref="A47:A48"/>
    <mergeCell ref="A53:A54"/>
    <mergeCell ref="B53:B54"/>
    <mergeCell ref="A112:A113"/>
    <mergeCell ref="B112:B113"/>
    <mergeCell ref="A115:B115"/>
    <mergeCell ref="A118:B118"/>
    <mergeCell ref="A56:B56"/>
    <mergeCell ref="A57:A58"/>
    <mergeCell ref="B57:B58"/>
    <mergeCell ref="A59:A60"/>
    <mergeCell ref="A43:A44"/>
    <mergeCell ref="B43:B44"/>
    <mergeCell ref="A46:B46"/>
    <mergeCell ref="A49:A50"/>
    <mergeCell ref="B49:B50"/>
    <mergeCell ref="A51:A52"/>
    <mergeCell ref="B51:B52"/>
    <mergeCell ref="B47:B48"/>
    <mergeCell ref="A33:A34"/>
    <mergeCell ref="B33:B34"/>
    <mergeCell ref="A36:B36"/>
    <mergeCell ref="A39:A40"/>
    <mergeCell ref="B39:B40"/>
    <mergeCell ref="A41:A42"/>
    <mergeCell ref="B41:B42"/>
    <mergeCell ref="A23:A24"/>
    <mergeCell ref="B23:B24"/>
    <mergeCell ref="A26:B26"/>
    <mergeCell ref="A29:A30"/>
    <mergeCell ref="B29:B30"/>
    <mergeCell ref="A31:A32"/>
    <mergeCell ref="B31:B32"/>
    <mergeCell ref="A13:I13"/>
    <mergeCell ref="A18:B18"/>
    <mergeCell ref="A19:A20"/>
    <mergeCell ref="B19:B20"/>
    <mergeCell ref="A21:A22"/>
    <mergeCell ref="B21:B22"/>
    <mergeCell ref="E15:H15"/>
    <mergeCell ref="C1:H4"/>
    <mergeCell ref="A4:B6"/>
    <mergeCell ref="C5:H7"/>
    <mergeCell ref="A8:H8"/>
    <mergeCell ref="A9:C9"/>
    <mergeCell ref="A11:H11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4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2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7:A108"/>
    <mergeCell ref="B107:B108"/>
    <mergeCell ref="A101:A102"/>
    <mergeCell ref="B101:B102"/>
    <mergeCell ref="A103:A104"/>
    <mergeCell ref="B103:B104"/>
    <mergeCell ref="A105:A106"/>
    <mergeCell ref="B105:B10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300" verticalDpi="300" orientation="landscape" scale="95" r:id="rId2"/>
  <rowBreaks count="3" manualBreakCount="3">
    <brk id="32" max="7" man="1"/>
    <brk id="60" max="7" man="1"/>
    <brk id="9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ANACARLA</cp:lastModifiedBy>
  <cp:lastPrinted>2017-03-17T11:47:31Z</cp:lastPrinted>
  <dcterms:created xsi:type="dcterms:W3CDTF">2013-02-28T10:54:20Z</dcterms:created>
  <dcterms:modified xsi:type="dcterms:W3CDTF">2017-06-22T11:13:52Z</dcterms:modified>
  <cp:category/>
  <cp:version/>
  <cp:contentType/>
  <cp:contentStatus/>
</cp:coreProperties>
</file>